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litebook\OneDrive\Desktop\Milland\Documents\MILLAND PARISH COUNCIL\Becky\Finance\Cashbook\MAR 26\"/>
    </mc:Choice>
  </mc:AlternateContent>
  <xr:revisionPtr revIDLastSave="0" documentId="8_{C0BF9283-76D7-4623-BF12-EBF212F788A7}" xr6:coauthVersionLast="47" xr6:coauthVersionMax="47" xr10:uidLastSave="{00000000-0000-0000-0000-000000000000}"/>
  <bookViews>
    <workbookView xWindow="-110" yWindow="-110" windowWidth="19420" windowHeight="10300" activeTab="4" xr2:uid="{3487E77D-4469-4B8E-AFE8-E5EF4608A881}"/>
  </bookViews>
  <sheets>
    <sheet name="Pivots" sheetId="5" r:id="rId1"/>
    <sheet name="Labels" sheetId="2" r:id="rId2"/>
    <sheet name="Precept - forecast" sheetId="4" r:id="rId3"/>
    <sheet name="Precept - budget YTD" sheetId="3" r:id="rId4"/>
    <sheet name="Cashbook" sheetId="1" r:id="rId5"/>
    <sheet name="Bank Recs MPC" sheetId="6" r:id="rId6"/>
    <sheet name="MPC Bank Transactions all" sheetId="11" r:id="rId7"/>
    <sheet name="Rec Field" sheetId="12" r:id="rId8"/>
  </sheets>
  <definedNames>
    <definedName name="_xlnm._FilterDatabase" localSheetId="4" hidden="1">Cashbook!$A$5:$K$109</definedName>
  </definedNames>
  <calcPr calcId="191029"/>
  <pivotCaches>
    <pivotCache cacheId="16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8" i="4" l="1"/>
  <c r="E39" i="4"/>
  <c r="E37" i="4"/>
  <c r="E35" i="4"/>
  <c r="E36" i="4"/>
  <c r="L6" i="1"/>
  <c r="C49" i="4" l="1"/>
  <c r="C47" i="4"/>
  <c r="C48" i="4"/>
  <c r="D32" i="6"/>
  <c r="D33" i="6"/>
  <c r="G25" i="12"/>
  <c r="C20" i="12"/>
  <c r="B23" i="12"/>
  <c r="B24" i="12" s="1"/>
  <c r="C22" i="12"/>
  <c r="C21" i="12"/>
  <c r="F13" i="12"/>
  <c r="G13" i="12"/>
  <c r="E13" i="12"/>
  <c r="G27" i="12" s="1"/>
  <c r="H9" i="12"/>
  <c r="H10" i="12"/>
  <c r="H11" i="12"/>
  <c r="H12" i="12"/>
  <c r="H15" i="12"/>
  <c r="H3" i="12"/>
  <c r="H4" i="12"/>
  <c r="H5" i="12"/>
  <c r="H6" i="12"/>
  <c r="H7" i="12"/>
  <c r="H8" i="12"/>
  <c r="H2" i="12"/>
  <c r="C34" i="5"/>
  <c r="E10" i="4"/>
  <c r="D37" i="4"/>
  <c r="E36" i="3"/>
  <c r="E35" i="3"/>
  <c r="E34" i="3"/>
  <c r="C19" i="12"/>
  <c r="B19" i="12"/>
  <c r="H106" i="1"/>
  <c r="H108" i="1" s="1"/>
  <c r="D12" i="6"/>
  <c r="G75" i="1"/>
  <c r="M112" i="1"/>
  <c r="B96" i="11"/>
  <c r="B95" i="11"/>
  <c r="B94" i="11"/>
  <c r="N110" i="1"/>
  <c r="G102" i="1"/>
  <c r="G103" i="1"/>
  <c r="G74" i="1"/>
  <c r="G73" i="1"/>
  <c r="C50" i="4" l="1"/>
  <c r="B25" i="12"/>
  <c r="H13" i="12"/>
  <c r="G29" i="12" s="1"/>
  <c r="G31" i="12" s="1"/>
  <c r="G35" i="12" s="1"/>
  <c r="C24" i="12"/>
  <c r="C25" i="12" s="1" a="1"/>
  <c r="C25" i="12" s="1"/>
  <c r="G61" i="1"/>
  <c r="G60" i="1"/>
  <c r="G59" i="1"/>
  <c r="G58" i="1"/>
  <c r="G101" i="1"/>
  <c r="G92" i="1"/>
  <c r="M115" i="1" s="1"/>
  <c r="G97" i="1"/>
  <c r="G98" i="1"/>
  <c r="G79" i="1" l="1"/>
  <c r="G81" i="1"/>
  <c r="G82" i="1"/>
  <c r="G83" i="1"/>
  <c r="G84" i="1"/>
  <c r="G85" i="1"/>
  <c r="G86" i="1"/>
  <c r="G87" i="1"/>
  <c r="G88" i="1"/>
  <c r="G89" i="1"/>
  <c r="G90" i="1"/>
  <c r="G91" i="1"/>
  <c r="G93" i="1"/>
  <c r="G94" i="1"/>
  <c r="G95" i="1"/>
  <c r="G96" i="1"/>
  <c r="G99" i="1"/>
  <c r="G100" i="1"/>
  <c r="G104" i="1"/>
  <c r="G105" i="1"/>
  <c r="M114" i="1" s="1"/>
  <c r="G76" i="1" l="1"/>
  <c r="G77" i="1"/>
  <c r="G78" i="1"/>
  <c r="C42" i="4"/>
  <c r="G35" i="4"/>
  <c r="F35" i="4"/>
  <c r="E25" i="4" l="1"/>
  <c r="E25" i="3"/>
  <c r="D25" i="3"/>
  <c r="D36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10" i="3"/>
  <c r="E80" i="1"/>
  <c r="E106" i="1" s="1"/>
  <c r="F36" i="4"/>
  <c r="G36" i="4"/>
  <c r="F37" i="4"/>
  <c r="G37" i="4"/>
  <c r="F38" i="4"/>
  <c r="G38" i="4"/>
  <c r="F80" i="1" l="1"/>
  <c r="H35" i="4"/>
  <c r="H38" i="4"/>
  <c r="H37" i="4"/>
  <c r="D31" i="4"/>
  <c r="D22" i="6"/>
  <c r="E19" i="4"/>
  <c r="H19" i="4" s="1"/>
  <c r="I19" i="4" s="1"/>
  <c r="E18" i="3"/>
  <c r="G46" i="1"/>
  <c r="G57" i="1"/>
  <c r="G62" i="1"/>
  <c r="G63" i="1"/>
  <c r="G64" i="1"/>
  <c r="G65" i="1"/>
  <c r="G66" i="1"/>
  <c r="G67" i="1"/>
  <c r="G68" i="1"/>
  <c r="G69" i="1"/>
  <c r="G70" i="1"/>
  <c r="G71" i="1"/>
  <c r="G72" i="1"/>
  <c r="C31" i="4"/>
  <c r="E30" i="4"/>
  <c r="E29" i="4"/>
  <c r="E28" i="4"/>
  <c r="H28" i="4" s="1"/>
  <c r="I28" i="4" s="1"/>
  <c r="J28" i="4" s="1"/>
  <c r="E27" i="4"/>
  <c r="E26" i="4"/>
  <c r="H26" i="4" s="1"/>
  <c r="I26" i="4" s="1"/>
  <c r="H25" i="4"/>
  <c r="I25" i="4" s="1"/>
  <c r="J25" i="4" s="1"/>
  <c r="E24" i="4"/>
  <c r="H24" i="4" s="1"/>
  <c r="I24" i="4" s="1"/>
  <c r="E23" i="4"/>
  <c r="E22" i="4"/>
  <c r="E21" i="4"/>
  <c r="E20" i="4"/>
  <c r="E18" i="4"/>
  <c r="H18" i="4" s="1"/>
  <c r="I18" i="4" s="1"/>
  <c r="J18" i="4" s="1"/>
  <c r="E17" i="4"/>
  <c r="H17" i="4" s="1"/>
  <c r="I17" i="4" s="1"/>
  <c r="J17" i="4" s="1"/>
  <c r="E16" i="4"/>
  <c r="E15" i="4"/>
  <c r="E14" i="4"/>
  <c r="H14" i="4" s="1"/>
  <c r="I14" i="4" s="1"/>
  <c r="E13" i="4"/>
  <c r="E12" i="4"/>
  <c r="E11" i="4"/>
  <c r="B4" i="4"/>
  <c r="H10" i="4" s="1"/>
  <c r="B3" i="4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6" i="3"/>
  <c r="D27" i="3"/>
  <c r="D28" i="3"/>
  <c r="D29" i="3"/>
  <c r="D30" i="3"/>
  <c r="D10" i="3"/>
  <c r="B4" i="3"/>
  <c r="G44" i="1"/>
  <c r="G45" i="1"/>
  <c r="G47" i="1"/>
  <c r="G48" i="1"/>
  <c r="G49" i="1"/>
  <c r="G50" i="1"/>
  <c r="G51" i="1"/>
  <c r="G52" i="1"/>
  <c r="G53" i="1"/>
  <c r="G54" i="1"/>
  <c r="G55" i="1"/>
  <c r="G56" i="1"/>
  <c r="E11" i="3"/>
  <c r="E12" i="3"/>
  <c r="E13" i="3"/>
  <c r="E14" i="3"/>
  <c r="E15" i="3"/>
  <c r="E16" i="3"/>
  <c r="E17" i="3"/>
  <c r="E19" i="3"/>
  <c r="E20" i="3"/>
  <c r="E21" i="3"/>
  <c r="E22" i="3"/>
  <c r="E23" i="3"/>
  <c r="G23" i="3" s="1"/>
  <c r="E24" i="3"/>
  <c r="E26" i="3"/>
  <c r="E27" i="3"/>
  <c r="E28" i="3"/>
  <c r="E29" i="3"/>
  <c r="G29" i="3" s="1"/>
  <c r="E30" i="3"/>
  <c r="E10" i="3"/>
  <c r="C31" i="3"/>
  <c r="H36" i="4" l="1"/>
  <c r="E31" i="4"/>
  <c r="D31" i="3"/>
  <c r="G80" i="1"/>
  <c r="F106" i="1"/>
  <c r="D39" i="4" s="1"/>
  <c r="H39" i="4" s="1"/>
  <c r="H12" i="4"/>
  <c r="I12" i="4" s="1"/>
  <c r="H16" i="4"/>
  <c r="I16" i="4" s="1"/>
  <c r="I10" i="4"/>
  <c r="J10" i="4" s="1"/>
  <c r="J19" i="4"/>
  <c r="H21" i="4"/>
  <c r="I21" i="4" s="1"/>
  <c r="J21" i="4" s="1"/>
  <c r="H13" i="4"/>
  <c r="I13" i="4" s="1"/>
  <c r="J13" i="4" s="1"/>
  <c r="G30" i="4"/>
  <c r="H30" i="4"/>
  <c r="G23" i="4"/>
  <c r="H23" i="4"/>
  <c r="H11" i="4"/>
  <c r="H15" i="4"/>
  <c r="H20" i="4"/>
  <c r="G22" i="4"/>
  <c r="H22" i="4"/>
  <c r="J26" i="4"/>
  <c r="H27" i="4"/>
  <c r="G29" i="4"/>
  <c r="H29" i="4"/>
  <c r="J24" i="4"/>
  <c r="J14" i="4"/>
  <c r="E31" i="3"/>
  <c r="F10" i="4"/>
  <c r="F12" i="4"/>
  <c r="G12" i="4" s="1"/>
  <c r="F14" i="4"/>
  <c r="G14" i="4" s="1"/>
  <c r="F16" i="4"/>
  <c r="G16" i="4" s="1"/>
  <c r="F18" i="4"/>
  <c r="G18" i="4" s="1"/>
  <c r="F19" i="4"/>
  <c r="G19" i="4" s="1"/>
  <c r="F21" i="4"/>
  <c r="G21" i="4" s="1"/>
  <c r="F23" i="4"/>
  <c r="F26" i="4"/>
  <c r="G26" i="4" s="1"/>
  <c r="F30" i="4"/>
  <c r="F11" i="4"/>
  <c r="G11" i="4" s="1"/>
  <c r="F13" i="4"/>
  <c r="G13" i="4" s="1"/>
  <c r="F15" i="4"/>
  <c r="G15" i="4" s="1"/>
  <c r="F17" i="4"/>
  <c r="G17" i="4" s="1"/>
  <c r="F20" i="4"/>
  <c r="G20" i="4" s="1"/>
  <c r="F22" i="4"/>
  <c r="F24" i="4"/>
  <c r="G24" i="4" s="1"/>
  <c r="F25" i="4"/>
  <c r="G25" i="4" s="1"/>
  <c r="F27" i="4"/>
  <c r="G27" i="4" s="1"/>
  <c r="F28" i="4"/>
  <c r="G28" i="4" s="1"/>
  <c r="F29" i="4"/>
  <c r="F10" i="3"/>
  <c r="G10" i="3" s="1"/>
  <c r="F28" i="3"/>
  <c r="G28" i="3" s="1"/>
  <c r="F30" i="3"/>
  <c r="F26" i="3"/>
  <c r="G26" i="3" s="1"/>
  <c r="F24" i="3"/>
  <c r="G24" i="3" s="1"/>
  <c r="F20" i="3"/>
  <c r="G20" i="3" s="1"/>
  <c r="F18" i="3"/>
  <c r="G18" i="3" s="1"/>
  <c r="F14" i="3"/>
  <c r="G14" i="3" s="1"/>
  <c r="F12" i="3"/>
  <c r="G12" i="3" s="1"/>
  <c r="F29" i="3"/>
  <c r="F27" i="3"/>
  <c r="G27" i="3" s="1"/>
  <c r="F23" i="3"/>
  <c r="F21" i="3"/>
  <c r="G21" i="3" s="1"/>
  <c r="F17" i="3"/>
  <c r="G17" i="3" s="1"/>
  <c r="F15" i="3"/>
  <c r="G15" i="3" s="1"/>
  <c r="F11" i="3"/>
  <c r="G11" i="3" s="1"/>
  <c r="G30" i="3"/>
  <c r="G22" i="3"/>
  <c r="E42" i="4" l="1"/>
  <c r="E37" i="3"/>
  <c r="E38" i="3" s="1"/>
  <c r="F31" i="3"/>
  <c r="G31" i="3" s="1"/>
  <c r="J16" i="4"/>
  <c r="J12" i="4"/>
  <c r="I27" i="4"/>
  <c r="J27" i="4" s="1"/>
  <c r="I20" i="4"/>
  <c r="J20" i="4" s="1"/>
  <c r="I23" i="4"/>
  <c r="J23" i="4"/>
  <c r="I15" i="4"/>
  <c r="J15" i="4" s="1"/>
  <c r="J30" i="4"/>
  <c r="I30" i="4"/>
  <c r="I29" i="4"/>
  <c r="J29" i="4"/>
  <c r="J22" i="4"/>
  <c r="I22" i="4"/>
  <c r="I11" i="4"/>
  <c r="J11" i="4" s="1"/>
  <c r="G10" i="4"/>
  <c r="F31" i="4"/>
  <c r="F16" i="3"/>
  <c r="G16" i="3" s="1"/>
  <c r="F25" i="3"/>
  <c r="G25" i="3" s="1"/>
  <c r="F22" i="3"/>
  <c r="F19" i="3"/>
  <c r="G19" i="3" s="1"/>
  <c r="F13" i="3"/>
  <c r="G13" i="3" s="1"/>
  <c r="E43" i="4" l="1"/>
  <c r="E44" i="4" s="1"/>
  <c r="B3" i="3"/>
  <c r="G25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7" i="1"/>
  <c r="G106" i="1" l="1"/>
  <c r="M110" i="1"/>
  <c r="M111" i="1" s="1"/>
  <c r="M113" i="1" s="1"/>
  <c r="M116" i="1" s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D8" i="6"/>
  <c r="D18" i="6"/>
  <c r="D24" i="6" s="1"/>
  <c r="G42" i="4" l="1"/>
  <c r="G110" i="1"/>
  <c r="H107" i="1"/>
  <c r="E24" i="6"/>
  <c r="E14" i="6"/>
  <c r="D14" i="6"/>
  <c r="I44" i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l="1"/>
  <c r="I58" i="1" l="1"/>
  <c r="I59" i="1" l="1"/>
  <c r="I60" i="1" l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l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N105" i="1" s="1"/>
  <c r="O100" i="1" l="1"/>
  <c r="D28" i="6" l="1"/>
  <c r="D34" i="6" l="1"/>
  <c r="E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Elitebook</author>
  </authors>
  <commentList>
    <comment ref="C54" authorId="0" shapeId="0" xr:uid="{CE13E22D-48E9-4E94-82C0-A30211AD43D6}">
      <text>
        <r>
          <rPr>
            <b/>
            <sz val="9"/>
            <color indexed="81"/>
            <rFont val="Tahoma"/>
            <family val="2"/>
          </rPr>
          <t>Elitebook:</t>
        </r>
        <r>
          <rPr>
            <sz val="9"/>
            <color indexed="81"/>
            <rFont val="Tahoma"/>
            <family val="2"/>
          </rPr>
          <t xml:space="preserve">
should read P6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Elitebook</author>
  </authors>
  <commentList>
    <comment ref="E18" authorId="0" shapeId="0" xr:uid="{8789D80E-E7DE-4B5F-99CF-66D77ACC8202}">
      <text>
        <r>
          <rPr>
            <b/>
            <sz val="9"/>
            <color indexed="81"/>
            <rFont val="Tahoma"/>
            <family val="2"/>
          </rPr>
          <t>Elitebook:</t>
        </r>
        <r>
          <rPr>
            <sz val="9"/>
            <color indexed="81"/>
            <rFont val="Tahoma"/>
            <family val="2"/>
          </rPr>
          <t xml:space="preserve">
from last APA financial report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<sst xmlns="http://schemas.openxmlformats.org/spreadsheetml/2006/main" count="987" uniqueCount="387">
  <si>
    <t>MILLAND PARISH COUNCIL</t>
  </si>
  <si>
    <t>Cashbook</t>
  </si>
  <si>
    <t>Year ended</t>
  </si>
  <si>
    <t>Date</t>
  </si>
  <si>
    <t>Payee</t>
  </si>
  <si>
    <t>Description</t>
  </si>
  <si>
    <t>Voucher</t>
  </si>
  <si>
    <t>Net</t>
  </si>
  <si>
    <t>VAT</t>
  </si>
  <si>
    <t>Gross</t>
  </si>
  <si>
    <t>Balance</t>
  </si>
  <si>
    <t>Analysis</t>
  </si>
  <si>
    <t>Status</t>
  </si>
  <si>
    <t>Balance b/f</t>
  </si>
  <si>
    <t>Nest</t>
  </si>
  <si>
    <t>Pension Contribution</t>
  </si>
  <si>
    <t>DD</t>
  </si>
  <si>
    <t>Public Works Loan</t>
  </si>
  <si>
    <t>Loan Repayment</t>
  </si>
  <si>
    <t>V Williams   30.04.2025</t>
  </si>
  <si>
    <t>Salary £ - P.1 Office</t>
  </si>
  <si>
    <t>OL256</t>
  </si>
  <si>
    <t>Clerk's Expenses</t>
  </si>
  <si>
    <t>P1</t>
  </si>
  <si>
    <t>HMRC</t>
  </si>
  <si>
    <t>PAYE - P1</t>
  </si>
  <si>
    <t>OL257</t>
  </si>
  <si>
    <t>WSALC</t>
  </si>
  <si>
    <t>Subscription</t>
  </si>
  <si>
    <t>OL258</t>
  </si>
  <si>
    <t>Mulberry &amp; Co.</t>
  </si>
  <si>
    <t>Internal Audit</t>
  </si>
  <si>
    <t>OL259</t>
  </si>
  <si>
    <t>Azets</t>
  </si>
  <si>
    <t>Payroll Services Q3 &amp; Q4 24-25</t>
  </si>
  <si>
    <t>OL260</t>
  </si>
  <si>
    <t>Coloured Courts</t>
  </si>
  <si>
    <t xml:space="preserve">Court Clean and treament </t>
  </si>
  <si>
    <t>OL261</t>
  </si>
  <si>
    <t>Rob Findlay</t>
  </si>
  <si>
    <t>Parish Maintenance</t>
  </si>
  <si>
    <t>OL262</t>
  </si>
  <si>
    <t>Surefire Training</t>
  </si>
  <si>
    <t>Basic First Aid and AED Training Course</t>
  </si>
  <si>
    <t>OL263</t>
  </si>
  <si>
    <t>V Williams P2</t>
  </si>
  <si>
    <t>Salary £ - P.2 Office £58.33</t>
  </si>
  <si>
    <t>OL264</t>
  </si>
  <si>
    <t>P2</t>
  </si>
  <si>
    <t>PAYE 2602</t>
  </si>
  <si>
    <t>OL265</t>
  </si>
  <si>
    <t>Playsafety Limited</t>
  </si>
  <si>
    <t>RoSPA</t>
  </si>
  <si>
    <t>OL266</t>
  </si>
  <si>
    <t>Clear Councils (BHIB)</t>
  </si>
  <si>
    <t>Insurance Renewal</t>
  </si>
  <si>
    <t>OL267</t>
  </si>
  <si>
    <t>V Williams P3</t>
  </si>
  <si>
    <t xml:space="preserve">Salary £ - P.3 </t>
  </si>
  <si>
    <t>OL268</t>
  </si>
  <si>
    <t>V Williams</t>
  </si>
  <si>
    <t>Clerk's Expenses P3</t>
  </si>
  <si>
    <t>PAYE 2603</t>
  </si>
  <si>
    <t>OL269</t>
  </si>
  <si>
    <t>OL270</t>
  </si>
  <si>
    <t>REIM V Williams</t>
  </si>
  <si>
    <t>Claranet - Domain Name</t>
  </si>
  <si>
    <t>OL271</t>
  </si>
  <si>
    <t>Recreation Field</t>
  </si>
  <si>
    <t>Maintenance Grant 1 / 2</t>
  </si>
  <si>
    <t>OL272</t>
  </si>
  <si>
    <t>Administration Grant 1 / 2</t>
  </si>
  <si>
    <t>OL273</t>
  </si>
  <si>
    <t>Cartersland Wildflower Group</t>
  </si>
  <si>
    <t>Grant</t>
  </si>
  <si>
    <t>OL274</t>
  </si>
  <si>
    <t>(M/I/L) Churches</t>
  </si>
  <si>
    <t>OL275</t>
  </si>
  <si>
    <t>Milland Valley Memorial Hall</t>
  </si>
  <si>
    <t>Hall Hire</t>
  </si>
  <si>
    <t>OL277</t>
  </si>
  <si>
    <t>Vision ICT</t>
  </si>
  <si>
    <t>Website Hosting &amp; Support</t>
  </si>
  <si>
    <t>OL278</t>
  </si>
  <si>
    <t>Payroll Services</t>
  </si>
  <si>
    <t>OL279</t>
  </si>
  <si>
    <t>V Williams P4</t>
  </si>
  <si>
    <t xml:space="preserve">Salary £ - P.4 </t>
  </si>
  <si>
    <t>OL281</t>
  </si>
  <si>
    <t>PAYE 2604</t>
  </si>
  <si>
    <t>OL282</t>
  </si>
  <si>
    <t xml:space="preserve">CDC Payments </t>
  </si>
  <si>
    <t>Precept</t>
  </si>
  <si>
    <t>Receipt</t>
  </si>
  <si>
    <t>VAT refund</t>
  </si>
  <si>
    <t>Paid</t>
  </si>
  <si>
    <t>Insurance</t>
  </si>
  <si>
    <t>Admin</t>
  </si>
  <si>
    <t>R Findlay</t>
  </si>
  <si>
    <t>Approved</t>
  </si>
  <si>
    <t>Forecast</t>
  </si>
  <si>
    <t>Payment released in bank</t>
  </si>
  <si>
    <t>Not approved but forecast</t>
  </si>
  <si>
    <t>Receipt: VAT repaid</t>
  </si>
  <si>
    <t>Precept received</t>
  </si>
  <si>
    <t>Budget v Actual</t>
  </si>
  <si>
    <t xml:space="preserve">Clerk's salary (Inc. Office) and PAYE Contribution </t>
  </si>
  <si>
    <t>Admin expenses</t>
  </si>
  <si>
    <t xml:space="preserve">Clerks payroll management Azets </t>
  </si>
  <si>
    <t xml:space="preserve">Clerk's Pension contribution </t>
  </si>
  <si>
    <t>Audit (PC only not Rec Fld (Moore / Mulberry)</t>
  </si>
  <si>
    <t>Computer, website, Domain, screen</t>
  </si>
  <si>
    <t>Hall Bookings</t>
  </si>
  <si>
    <t xml:space="preserve">Subscriptions </t>
  </si>
  <si>
    <t xml:space="preserve">Donations (Sec137) </t>
  </si>
  <si>
    <t xml:space="preserve">Training for Councillors/Clerk </t>
  </si>
  <si>
    <t>Rec Field Grant</t>
  </si>
  <si>
    <t>Rec Field Repairs Grant</t>
  </si>
  <si>
    <t>Tree surgery Rec Fld and Parish (land opp Durrants Pond)</t>
  </si>
  <si>
    <t>Environment &amp; Amenities (hedging/ditching/verges)</t>
  </si>
  <si>
    <t xml:space="preserve">Grants </t>
  </si>
  <si>
    <t>Defibrillator</t>
  </si>
  <si>
    <t>Community Welcome Fund Initiative</t>
  </si>
  <si>
    <t>Community Shop PWL</t>
  </si>
  <si>
    <t>Reserve funds</t>
  </si>
  <si>
    <t>Snow Ploughing/Winter Preparation</t>
  </si>
  <si>
    <t>Totals</t>
  </si>
  <si>
    <t xml:space="preserve">Payroll admin: Azets </t>
  </si>
  <si>
    <t xml:space="preserve">Pension contribution </t>
  </si>
  <si>
    <t>IT costs</t>
  </si>
  <si>
    <t xml:space="preserve">Training </t>
  </si>
  <si>
    <t>Tree surgery</t>
  </si>
  <si>
    <t>Environment &amp; Amenities</t>
  </si>
  <si>
    <t>Welcome Fund Initiative</t>
  </si>
  <si>
    <t>PWL</t>
  </si>
  <si>
    <t>Snow/ Winter Preparation</t>
  </si>
  <si>
    <t>Audit</t>
  </si>
  <si>
    <t>Cashbook category</t>
  </si>
  <si>
    <t>Precept description</t>
  </si>
  <si>
    <t>£</t>
  </si>
  <si>
    <t>Budget</t>
  </si>
  <si>
    <t>Actual</t>
  </si>
  <si>
    <t>Variance</t>
  </si>
  <si>
    <t>%</t>
  </si>
  <si>
    <t>HMRC VAT Reclaim</t>
  </si>
  <si>
    <t xml:space="preserve">V Williams    </t>
  </si>
  <si>
    <t xml:space="preserve">Salary £ - P.5 </t>
  </si>
  <si>
    <t xml:space="preserve">HMRC       </t>
  </si>
  <si>
    <t>PAYE 2605</t>
  </si>
  <si>
    <t>REIMB V Williams</t>
  </si>
  <si>
    <t>MTC Net - Sports Equip</t>
  </si>
  <si>
    <t>Reimb V Williams</t>
  </si>
  <si>
    <t>MTC Net Straps Edwards Sports</t>
  </si>
  <si>
    <t>Year to date, for months</t>
  </si>
  <si>
    <t>Clerk's Salary + Office</t>
  </si>
  <si>
    <t>ICO</t>
  </si>
  <si>
    <t>Annual Subscription</t>
  </si>
  <si>
    <t>PAYE 2607</t>
  </si>
  <si>
    <t>Hall Hire Finance Meeting</t>
  </si>
  <si>
    <t>Azets Payroll</t>
  </si>
  <si>
    <t>Reimb L Myles</t>
  </si>
  <si>
    <t>Indeed Job Advert</t>
  </si>
  <si>
    <t>Meet Up Coffees</t>
  </si>
  <si>
    <t>Reimb C Collins</t>
  </si>
  <si>
    <t>Wel Medical Defibrillator Battery</t>
  </si>
  <si>
    <t>Phoebox Refurb</t>
  </si>
  <si>
    <t>Air Ambulance</t>
  </si>
  <si>
    <t>Donation</t>
  </si>
  <si>
    <t>Linch PCC</t>
  </si>
  <si>
    <t>Bettesworth Room Hire 02 October 2025</t>
  </si>
  <si>
    <t>V Williams P7</t>
  </si>
  <si>
    <t>Authorised</t>
  </si>
  <si>
    <t>Approved by MPC but not yet due</t>
  </si>
  <si>
    <t>Authorised for payment MPC but not yet paid from bank</t>
  </si>
  <si>
    <t>Ring Fenced Funds/ Reserves</t>
  </si>
  <si>
    <t>CIL</t>
  </si>
  <si>
    <t>b/f</t>
  </si>
  <si>
    <t>Bank reconciliation as at</t>
  </si>
  <si>
    <t>Balance per cashbook</t>
  </si>
  <si>
    <t>Items in cashbook not on bank:</t>
  </si>
  <si>
    <t>Balance on bank</t>
  </si>
  <si>
    <t>Available</t>
  </si>
  <si>
    <t>Defib Fund</t>
  </si>
  <si>
    <t>MTC Fund</t>
  </si>
  <si>
    <t>Jubilee Fund</t>
  </si>
  <si>
    <t>MTC</t>
  </si>
  <si>
    <t xml:space="preserve">GLASDON UK LIMITED    	INV. SI924311 BBP	</t>
  </si>
  <si>
    <t>Jubilee</t>
  </si>
  <si>
    <t>Monthly</t>
  </si>
  <si>
    <t>As spent</t>
  </si>
  <si>
    <t>Reserves</t>
  </si>
  <si>
    <t>Allocation</t>
  </si>
  <si>
    <t>Actual = paid/ approved/ authorised</t>
  </si>
  <si>
    <t>Forecast = paid/ approved/ authorised plus estimate to YE</t>
  </si>
  <si>
    <t>Budget v Actual from/ to</t>
  </si>
  <si>
    <t>Actual = paid to date</t>
  </si>
  <si>
    <t>Row Labels</t>
  </si>
  <si>
    <t>(blank)</t>
  </si>
  <si>
    <t>Grand Total</t>
  </si>
  <si>
    <t>Sum of Net</t>
  </si>
  <si>
    <t>Sum of VAT</t>
  </si>
  <si>
    <t>Sum of Gross</t>
  </si>
  <si>
    <t>General reserves</t>
  </si>
  <si>
    <t xml:space="preserve">MTC </t>
  </si>
  <si>
    <t>INV 333037</t>
  </si>
  <si>
    <t>SALARY NOV</t>
  </si>
  <si>
    <t xml:space="preserve">204842 40369845       	MTC NET OVER PAY FT	</t>
  </si>
  <si>
    <t>Funds Transfer</t>
  </si>
  <si>
    <t xml:space="preserve">MOORE                 	INV 333037 BBP	</t>
  </si>
  <si>
    <t>Bill Payment</t>
  </si>
  <si>
    <t xml:space="preserve">VL WILLIAMS           	SALARY NOVEMBER BBP	</t>
  </si>
  <si>
    <t xml:space="preserve">NEST                  	IT000005344668 DDR	</t>
  </si>
  <si>
    <t>Direct Debit</t>
  </si>
  <si>
    <t xml:space="preserve">SOMMA CLOUD           	CLOUD BBP	</t>
  </si>
  <si>
    <t xml:space="preserve">PUBLIC WORKS LOANS    	MILLAND DDR	</t>
  </si>
  <si>
    <t xml:space="preserve">VISION ICT LTD        	INV 21183 BBP	</t>
  </si>
  <si>
    <t xml:space="preserve">DAVID ANDREW JONAT    	INV SUPPORT MPC BBP	</t>
  </si>
  <si>
    <t>EMPLOYER CONTRIBUT    	120PT003155002609 BBP</t>
  </si>
  <si>
    <t xml:space="preserve">VL WILLIAMS           	CLERK SALARY DEC BBP	</t>
  </si>
  <si>
    <t xml:space="preserve">HOLLYCOMBE PRIMARY    	MILLAND PC GRANT BBP	</t>
  </si>
  <si>
    <t xml:space="preserve">IA + RM DENBY         	CLERK SALARY BBP	</t>
  </si>
  <si>
    <t xml:space="preserve">R C FINDLAY           	MPC.JAN BBP	</t>
  </si>
  <si>
    <t xml:space="preserve">THE MILLAND COMMUN    	GRANT BBP	</t>
  </si>
  <si>
    <t xml:space="preserve">WEST SUSSEX ALC LI    	INVOICE 2094 BBP	</t>
  </si>
  <si>
    <t xml:space="preserve">IA &amp; RM DENBY         	CLERK SALARY BBP	</t>
  </si>
  <si>
    <t>HMRC PAYE/NIC CUMB    	120PT003155002610 BBP</t>
  </si>
  <si>
    <t xml:space="preserve">STOCKSIGNS LIMITED    	INV SW70129/8 BBP	</t>
  </si>
  <si>
    <t>Memo</t>
  </si>
  <si>
    <t>Subcategory</t>
  </si>
  <si>
    <t>Amount</t>
  </si>
  <si>
    <t>D Somma</t>
  </si>
  <si>
    <t>V Williams P8</t>
  </si>
  <si>
    <t>Moore</t>
  </si>
  <si>
    <t>Glasdon</t>
  </si>
  <si>
    <t xml:space="preserve">INV. SI924311 BBP	</t>
  </si>
  <si>
    <t xml:space="preserve">CLOUD BBP	</t>
  </si>
  <si>
    <t xml:space="preserve">MILLAND DDR	</t>
  </si>
  <si>
    <t>V Williams P9</t>
  </si>
  <si>
    <t>refund overpayment</t>
  </si>
  <si>
    <t>Inv 21183</t>
  </si>
  <si>
    <t>Nov / Dec</t>
  </si>
  <si>
    <t>Hollycombe School</t>
  </si>
  <si>
    <t>Library Grant</t>
  </si>
  <si>
    <t>IT Support</t>
  </si>
  <si>
    <t>Employer Tax / NI</t>
  </si>
  <si>
    <t>R Denby P7-9</t>
  </si>
  <si>
    <t xml:space="preserve">Clerk Salary Oct - Dec 26 </t>
  </si>
  <si>
    <t>Clerk Salary Dec</t>
  </si>
  <si>
    <t>R Denby P10</t>
  </si>
  <si>
    <t xml:space="preserve">Clerk Salary Jan </t>
  </si>
  <si>
    <t>Inv 2094 LM Training</t>
  </si>
  <si>
    <t>Milland Community Shop</t>
  </si>
  <si>
    <t>Stocksigns</t>
  </si>
  <si>
    <t xml:space="preserve">INV SW70129/8 </t>
  </si>
  <si>
    <t xml:space="preserve">ICO                   	ZA276937 DDR	</t>
  </si>
  <si>
    <t xml:space="preserve">MILLAND TENNIS C      	TENNIS CLUB BGC	</t>
  </si>
  <si>
    <t>Counter Credit</t>
  </si>
  <si>
    <t xml:space="preserve">VL WILLIAMS           	SALARY OCT BBP	</t>
  </si>
  <si>
    <t>EMPLOYER CONTRIBUT    	120PT003155002607 BBP</t>
  </si>
  <si>
    <t xml:space="preserve">R C FINDLAY           	MAINT NOV BBP	</t>
  </si>
  <si>
    <t>VL WILLIAMS           	HALL HIRE FINANCE BBP</t>
  </si>
  <si>
    <t xml:space="preserve">CLAIRE COLLINS        	DEFIB BATT BBP	</t>
  </si>
  <si>
    <t xml:space="preserve">CLAIRE COLLINS        	PHONE BOX REIMB BBP	</t>
  </si>
  <si>
    <t xml:space="preserve">AIR AMBULANCE         	MILLAND DONATION BBP	</t>
  </si>
  <si>
    <t xml:space="preserve">LINCH PCC             	HALL HIRE OCT 25 BBP	</t>
  </si>
  <si>
    <t xml:space="preserve">MULBERRY + CO         	INV-1701 BBP	</t>
  </si>
  <si>
    <t>EMPLOYER CONTRIBUT    	120PT003155002608 BBP</t>
  </si>
  <si>
    <t>LA MYLES              	MEET UP COFFEE OCT BB</t>
  </si>
  <si>
    <t>L.A. MYLES            	MEET UP COFFEE AUG BB</t>
  </si>
  <si>
    <t xml:space="preserve">VL WILLIAMS           	AZETS REIMB BBP	</t>
  </si>
  <si>
    <t>L A MYLES             	INDEEDIEI25-016285 BB</t>
  </si>
  <si>
    <t xml:space="preserve">R C FINDLAY           	MAINT01.02 BBP	</t>
  </si>
  <si>
    <t xml:space="preserve">IA + RM DENBY         	CLERK SALARY FEB BBP	</t>
  </si>
  <si>
    <t xml:space="preserve">NEST PENSION PMT      	P260312DC1750813 BGC	</t>
  </si>
  <si>
    <t>HMRC PAYE/NIC CUMB    	120PT003155002611 BBP</t>
  </si>
  <si>
    <t xml:space="preserve">NEST PENSION PMT      	P260317DC1772060 BGC	</t>
  </si>
  <si>
    <t xml:space="preserve">THE MILLAND COMMUN    	GRANT MAR 26 BBP	</t>
  </si>
  <si>
    <t>IA &amp; RM DENBY         	CLERK SALARY MARCH BB</t>
  </si>
  <si>
    <t>Boher Architecture</t>
  </si>
  <si>
    <t>Inv 1192 Padel Court</t>
  </si>
  <si>
    <t>R Denby</t>
  </si>
  <si>
    <t>Clerk Salary Feb</t>
  </si>
  <si>
    <t>Jan / Feb Maintenance</t>
  </si>
  <si>
    <t>NEST</t>
  </si>
  <si>
    <t>Credit</t>
  </si>
  <si>
    <t>The Milland Community Store</t>
  </si>
  <si>
    <t>Income</t>
  </si>
  <si>
    <t>bank s/ment</t>
  </si>
  <si>
    <t>diff</t>
  </si>
  <si>
    <t xml:space="preserve">CDC PAYMENTS          	N00061 BGC	</t>
  </si>
  <si>
    <t xml:space="preserve">VL WILLIAMS           	CLERKS SALARY P1 BBP	</t>
  </si>
  <si>
    <t>EMPLOYER CONTRIBUT    	120PT003155002601 BBP</t>
  </si>
  <si>
    <t xml:space="preserve">MULBERRY + CO         	INV 1080 BBP	</t>
  </si>
  <si>
    <t xml:space="preserve">WEST SUSSEX ALC LI    	INV 1902 BBP	</t>
  </si>
  <si>
    <t xml:space="preserve">AZETS HOLDINGS LIM    	41298407 BBP	</t>
  </si>
  <si>
    <t xml:space="preserve">COLOURED COURTS LT    	INV 6820 BBP	</t>
  </si>
  <si>
    <t xml:space="preserve">R C FINDLAY           	MARCH APRIL BBP	</t>
  </si>
  <si>
    <t xml:space="preserve">SUREFIRE TRAINING     	INV 2507 BBP	</t>
  </si>
  <si>
    <t>VL WILLIAMS           	CLERKS SALARY MAY BBP</t>
  </si>
  <si>
    <t>EMPLOYER CONTRIBUT    	120PT003155002602 BBP</t>
  </si>
  <si>
    <t xml:space="preserve">PLAYSAFETY LTD        	INV 88455 BBP	</t>
  </si>
  <si>
    <t xml:space="preserve">HMRC VTR              	XCV126000101354 BGC	</t>
  </si>
  <si>
    <t xml:space="preserve">CLEAR INSURANCE MA    	LCO00977 BBP	</t>
  </si>
  <si>
    <t xml:space="preserve">203106 13624609       	MAINT 1/2 FT	</t>
  </si>
  <si>
    <t xml:space="preserve">203106 13624609       	REC ADMIN 1/2 FT	</t>
  </si>
  <si>
    <t xml:space="preserve">VL WILLIAMS           	CLERK SALARY BBP	</t>
  </si>
  <si>
    <t>EMPLOYER CONTRIBUT    	120PT003155002603 BBP</t>
  </si>
  <si>
    <t xml:space="preserve">R C FINDLAY           	MAINT05.06 BBP	</t>
  </si>
  <si>
    <t xml:space="preserve">VL WILLIAMS           	REIM CLARANET BBP	</t>
  </si>
  <si>
    <t xml:space="preserve">CARTERSLAND GREEN     	MPC GRANT 25/26 BBP	</t>
  </si>
  <si>
    <t xml:space="preserve">LINCH PCC             	MPC GRANT 25/26 BBP	</t>
  </si>
  <si>
    <t xml:space="preserve">MVMH                  	MPC HALLHIRE 096 BBP	</t>
  </si>
  <si>
    <t xml:space="preserve">VISION ICT LTD        	HOSTING 20435 BBP	</t>
  </si>
  <si>
    <t xml:space="preserve">AZETS HOLDINGS LIM    	PM1620-41308568 BBP	</t>
  </si>
  <si>
    <t xml:space="preserve">VL WILLIAMS           	CLERKS SALARY BBP	</t>
  </si>
  <si>
    <t>EMPLOYER CONTRIBUT    	120PT003155002604 BBP</t>
  </si>
  <si>
    <t>EMPLOYER CONTRIBUT    	120PT003155002605 BBP</t>
  </si>
  <si>
    <t xml:space="preserve">VL WILLIAMS           	TENNIS NET 1 BBP	</t>
  </si>
  <si>
    <t xml:space="preserve">VL WILLIAMS           	TENNIS NET 2 BBP	</t>
  </si>
  <si>
    <t>VL WILLIAMS           	TENNIS NET STRAPS BBP</t>
  </si>
  <si>
    <t xml:space="preserve">R C FINDLAY           	MAINT BBP	</t>
  </si>
  <si>
    <t xml:space="preserve">VL W WILLIAMS         	CLERK SALARY BBP	</t>
  </si>
  <si>
    <t>EMPLOYER CONTRIBUT    	120PT003155002606 BBP</t>
  </si>
  <si>
    <t>Salary Oct</t>
  </si>
  <si>
    <t xml:space="preserve">R Denby </t>
  </si>
  <si>
    <t>Clerk Salary Mar</t>
  </si>
  <si>
    <t>out</t>
  </si>
  <si>
    <t>in</t>
  </si>
  <si>
    <t>march salary paid in april</t>
  </si>
  <si>
    <t>total for year rec</t>
  </si>
  <si>
    <t>Year Rec</t>
  </si>
  <si>
    <t>Agrees to bank statement</t>
  </si>
  <si>
    <t>Bank Rec 25/26</t>
  </si>
  <si>
    <t>L Myles</t>
  </si>
  <si>
    <t>cashbook position march</t>
  </si>
  <si>
    <t>transactions fy to march bank</t>
  </si>
  <si>
    <t>deduct april 26 payment</t>
  </si>
  <si>
    <t>none</t>
  </si>
  <si>
    <t>net spend</t>
  </si>
  <si>
    <t>Paid April</t>
  </si>
  <si>
    <t>Boher Architecture not paid</t>
  </si>
  <si>
    <t>Not paid</t>
  </si>
  <si>
    <t xml:space="preserve"> Amount </t>
  </si>
  <si>
    <t xml:space="preserve">CDC CUSTOMER A/CS     	C000190 DDR	</t>
  </si>
  <si>
    <t xml:space="preserve">R FINDLAY             	MAINTENANCE BBP	</t>
  </si>
  <si>
    <t>GRAVELMASTER LTD      	INV.352434 P BARK BBP</t>
  </si>
  <si>
    <t xml:space="preserve">R FINDLAY             	MAINT05.06 BBP	</t>
  </si>
  <si>
    <t xml:space="preserve">203106 50010332       	REC ADMIN 1/2 FT	</t>
  </si>
  <si>
    <t xml:space="preserve">203106 50010332       	MAINT 1/2 FT	</t>
  </si>
  <si>
    <t xml:space="preserve">R FINDLAY             	REC MAINT BBP	</t>
  </si>
  <si>
    <t xml:space="preserve">CREATIVE PLAY UK      	INV32284 BBP	</t>
  </si>
  <si>
    <t xml:space="preserve">R FINDLAY             	MAINT NOV BBP	</t>
  </si>
  <si>
    <t xml:space="preserve">R FINDLAY             	MPC JAN 26 BBP	</t>
  </si>
  <si>
    <t>next fy</t>
  </si>
  <si>
    <t>income from MPC</t>
  </si>
  <si>
    <t>repairs and maintenance</t>
  </si>
  <si>
    <t>monies in</t>
  </si>
  <si>
    <t>monies out</t>
  </si>
  <si>
    <t>admin - cdc bins etc</t>
  </si>
  <si>
    <t>Reconcile against Cashbook</t>
  </si>
  <si>
    <t>Total:</t>
  </si>
  <si>
    <t>Total</t>
  </si>
  <si>
    <t>Spend Pivot Table</t>
  </si>
  <si>
    <t>Shop loan (reserves)</t>
  </si>
  <si>
    <t>Nb</t>
  </si>
  <si>
    <t>VAT Reclaim</t>
  </si>
  <si>
    <t>vat</t>
  </si>
  <si>
    <t>net</t>
  </si>
  <si>
    <t>gross</t>
  </si>
  <si>
    <t>cant find invoice so no vat for now</t>
  </si>
  <si>
    <t>Maintenance</t>
  </si>
  <si>
    <t>Diff</t>
  </si>
  <si>
    <t>Totals FY 25/26</t>
  </si>
  <si>
    <t>nb ringfenced £10k for tree works</t>
  </si>
  <si>
    <t>Bank Rec FY 25/26 as at 31/03/26</t>
  </si>
  <si>
    <t>Balance per cash book apr 25</t>
  </si>
  <si>
    <t>Balance per bank April 25</t>
  </si>
  <si>
    <t>Items in cashbook not on bank</t>
  </si>
  <si>
    <t>immaterial</t>
  </si>
  <si>
    <t>cash movements in</t>
  </si>
  <si>
    <t>cash movements out</t>
  </si>
  <si>
    <t>Balance per cashbook Mar 26</t>
  </si>
  <si>
    <t>CDC FY 26/27</t>
  </si>
  <si>
    <t>Balance per bank Mar 26</t>
  </si>
  <si>
    <t>April statement not yet available at time of reconciliation</t>
  </si>
  <si>
    <t>bal fig box 1</t>
  </si>
  <si>
    <t>agar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</si>
</sst>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[$-409]d\-mmm;@"/>
    <numFmt numFmtId="166" formatCode="_-* #,##0_-;\-* #,##0_-;_-* &quot;-&quot;??_-;_-@_-"/>
    <numFmt numFmtId="167" formatCode="[$-409]d\-mmm\-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u val="singleAccounting"/>
      <sz val="11"/>
      <name val="Calibri"/>
      <family val="2"/>
      <scheme val="minor"/>
    </font>
    <font>
      <i/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i/>
      <sz val="11"/>
      <color rgb="FF7030A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CD0E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3" borderId="1" applyNumberFormat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43" fontId="4" fillId="0" borderId="0" xfId="1" applyFont="1" applyBorder="1" applyAlignment="1">
      <alignment wrapText="1"/>
    </xf>
    <xf numFmtId="43" fontId="0" fillId="0" borderId="0" xfId="1" applyFont="1"/>
    <xf numFmtId="43" fontId="0" fillId="0" borderId="0" xfId="0" applyNumberFormat="1"/>
    <xf numFmtId="0" fontId="5" fillId="0" borderId="0" xfId="0" applyFont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1" applyNumberFormat="1" applyFont="1" applyAlignment="1">
      <alignment horizontal="left"/>
    </xf>
    <xf numFmtId="43" fontId="0" fillId="0" borderId="0" xfId="1" applyFont="1" applyAlignment="1">
      <alignment horizontal="center"/>
    </xf>
    <xf numFmtId="43" fontId="0" fillId="0" borderId="2" xfId="1" applyFont="1" applyBorder="1"/>
    <xf numFmtId="43" fontId="0" fillId="4" borderId="0" xfId="1" applyFont="1" applyFill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43" fontId="0" fillId="2" borderId="6" xfId="1" applyFont="1" applyFill="1" applyBorder="1"/>
    <xf numFmtId="43" fontId="0" fillId="2" borderId="0" xfId="1" applyFont="1" applyFill="1" applyBorder="1"/>
    <xf numFmtId="9" fontId="0" fillId="2" borderId="7" xfId="2" applyFont="1" applyFill="1" applyBorder="1"/>
    <xf numFmtId="43" fontId="0" fillId="2" borderId="11" xfId="1" applyFont="1" applyFill="1" applyBorder="1"/>
    <xf numFmtId="43" fontId="0" fillId="2" borderId="2" xfId="1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43" fontId="0" fillId="5" borderId="6" xfId="1" applyFont="1" applyFill="1" applyBorder="1"/>
    <xf numFmtId="43" fontId="0" fillId="5" borderId="0" xfId="1" applyFont="1" applyFill="1" applyBorder="1"/>
    <xf numFmtId="9" fontId="0" fillId="5" borderId="7" xfId="2" applyFont="1" applyFill="1" applyBorder="1"/>
    <xf numFmtId="0" fontId="0" fillId="5" borderId="6" xfId="0" applyFill="1" applyBorder="1"/>
    <xf numFmtId="0" fontId="0" fillId="5" borderId="0" xfId="0" applyFill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4" borderId="0" xfId="0" applyFill="1"/>
    <xf numFmtId="166" fontId="0" fillId="0" borderId="0" xfId="1" applyNumberFormat="1" applyFont="1" applyAlignment="1"/>
    <xf numFmtId="0" fontId="0" fillId="0" borderId="0" xfId="0" pivotButton="1"/>
    <xf numFmtId="0" fontId="0" fillId="0" borderId="0" xfId="0" applyAlignment="1">
      <alignment horizontal="left"/>
    </xf>
    <xf numFmtId="167" fontId="0" fillId="0" borderId="0" xfId="0" applyNumberFormat="1"/>
    <xf numFmtId="43" fontId="0" fillId="0" borderId="0" xfId="1" applyFont="1" applyFill="1"/>
    <xf numFmtId="43" fontId="0" fillId="0" borderId="0" xfId="1" applyFont="1" applyAlignment="1">
      <alignment horizontal="right"/>
    </xf>
    <xf numFmtId="43" fontId="0" fillId="0" borderId="12" xfId="1" applyFont="1" applyBorder="1"/>
    <xf numFmtId="0" fontId="4" fillId="0" borderId="0" xfId="0" applyFont="1"/>
    <xf numFmtId="43" fontId="4" fillId="0" borderId="0" xfId="1" applyFont="1"/>
    <xf numFmtId="43" fontId="0" fillId="0" borderId="0" xfId="1" applyFont="1" applyFill="1" applyAlignment="1">
      <alignment horizontal="right"/>
    </xf>
    <xf numFmtId="43" fontId="8" fillId="0" borderId="0" xfId="0" applyNumberFormat="1" applyFont="1"/>
    <xf numFmtId="43" fontId="7" fillId="8" borderId="0" xfId="0" applyNumberFormat="1" applyFont="1" applyFill="1"/>
    <xf numFmtId="43" fontId="7" fillId="0" borderId="0" xfId="1" applyFont="1"/>
    <xf numFmtId="43" fontId="0" fillId="0" borderId="0" xfId="1" applyFont="1" applyFill="1" applyBorder="1"/>
    <xf numFmtId="43" fontId="0" fillId="0" borderId="12" xfId="0" applyNumberFormat="1" applyBorder="1"/>
    <xf numFmtId="43" fontId="0" fillId="0" borderId="14" xfId="1" applyFont="1" applyBorder="1"/>
    <xf numFmtId="14" fontId="0" fillId="8" borderId="0" xfId="0" applyNumberFormat="1" applyFill="1"/>
    <xf numFmtId="43" fontId="8" fillId="0" borderId="0" xfId="1" applyFont="1"/>
    <xf numFmtId="43" fontId="13" fillId="0" borderId="0" xfId="1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2" fillId="0" borderId="18" xfId="0" applyFont="1" applyBorder="1" applyAlignment="1">
      <alignment horizontal="center"/>
    </xf>
    <xf numFmtId="0" fontId="0" fillId="0" borderId="19" xfId="0" applyBorder="1"/>
    <xf numFmtId="0" fontId="12" fillId="0" borderId="0" xfId="0" applyFont="1" applyAlignment="1">
      <alignment horizontal="center"/>
    </xf>
    <xf numFmtId="43" fontId="0" fillId="0" borderId="18" xfId="1" applyFont="1" applyBorder="1"/>
    <xf numFmtId="43" fontId="7" fillId="0" borderId="0" xfId="1" applyFont="1" applyBorder="1"/>
    <xf numFmtId="43" fontId="0" fillId="0" borderId="0" xfId="1" applyFont="1" applyBorder="1"/>
    <xf numFmtId="43" fontId="0" fillId="0" borderId="18" xfId="0" applyNumberFormat="1" applyBorder="1"/>
    <xf numFmtId="0" fontId="0" fillId="0" borderId="20" xfId="0" applyBorder="1"/>
    <xf numFmtId="0" fontId="0" fillId="0" borderId="14" xfId="0" applyBorder="1"/>
    <xf numFmtId="0" fontId="0" fillId="0" borderId="21" xfId="0" applyBorder="1"/>
    <xf numFmtId="43" fontId="0" fillId="0" borderId="14" xfId="1" applyFont="1" applyFill="1" applyBorder="1"/>
    <xf numFmtId="14" fontId="6" fillId="0" borderId="0" xfId="4" applyNumberFormat="1" applyFill="1" applyBorder="1"/>
    <xf numFmtId="43" fontId="6" fillId="0" borderId="0" xfId="1" applyFont="1" applyFill="1" applyBorder="1"/>
    <xf numFmtId="43" fontId="6" fillId="0" borderId="0" xfId="4" applyNumberFormat="1" applyFill="1" applyBorder="1"/>
    <xf numFmtId="43" fontId="7" fillId="0" borderId="0" xfId="1" applyFont="1" applyFill="1"/>
    <xf numFmtId="43" fontId="7" fillId="0" borderId="0" xfId="1" applyFont="1" applyFill="1" applyAlignment="1">
      <alignment horizontal="center"/>
    </xf>
    <xf numFmtId="43" fontId="7" fillId="0" borderId="12" xfId="1" applyFont="1" applyFill="1" applyBorder="1"/>
    <xf numFmtId="43" fontId="4" fillId="0" borderId="12" xfId="1" applyFont="1" applyFill="1" applyBorder="1"/>
    <xf numFmtId="0" fontId="11" fillId="0" borderId="0" xfId="0" applyFont="1"/>
    <xf numFmtId="14" fontId="4" fillId="0" borderId="0" xfId="0" applyNumberFormat="1" applyFont="1"/>
    <xf numFmtId="43" fontId="0" fillId="6" borderId="0" xfId="0" applyNumberFormat="1" applyFill="1"/>
    <xf numFmtId="43" fontId="4" fillId="6" borderId="0" xfId="0" applyNumberFormat="1" applyFont="1" applyFill="1"/>
    <xf numFmtId="43" fontId="0" fillId="8" borderId="0" xfId="0" applyNumberFormat="1" applyFill="1"/>
    <xf numFmtId="43" fontId="14" fillId="0" borderId="0" xfId="1" applyFont="1" applyFill="1" applyBorder="1"/>
    <xf numFmtId="43" fontId="14" fillId="5" borderId="12" xfId="0" applyNumberFormat="1" applyFont="1" applyFill="1" applyBorder="1"/>
    <xf numFmtId="43" fontId="14" fillId="5" borderId="0" xfId="0" applyNumberFormat="1" applyFont="1" applyFill="1"/>
    <xf numFmtId="0" fontId="14" fillId="5" borderId="0" xfId="0" applyFont="1" applyFill="1"/>
    <xf numFmtId="0" fontId="15" fillId="0" borderId="0" xfId="0" applyFont="1"/>
    <xf numFmtId="43" fontId="6" fillId="9" borderId="0" xfId="1" applyFont="1" applyFill="1" applyBorder="1"/>
    <xf numFmtId="43" fontId="6" fillId="9" borderId="0" xfId="4" applyNumberFormat="1" applyFill="1" applyBorder="1"/>
    <xf numFmtId="43" fontId="6" fillId="7" borderId="12" xfId="4" applyNumberFormat="1" applyFill="1" applyBorder="1"/>
    <xf numFmtId="43" fontId="13" fillId="0" borderId="0" xfId="1" applyFont="1" applyAlignment="1">
      <alignment horizontal="center"/>
    </xf>
    <xf numFmtId="0" fontId="13" fillId="0" borderId="0" xfId="0" applyFont="1" applyAlignment="1">
      <alignment horizontal="center"/>
    </xf>
    <xf numFmtId="0" fontId="0" fillId="10" borderId="0" xfId="0" applyFill="1"/>
    <xf numFmtId="43" fontId="0" fillId="0" borderId="22" xfId="0" applyNumberFormat="1" applyBorder="1"/>
    <xf numFmtId="0" fontId="7" fillId="0" borderId="0" xfId="0" applyFont="1"/>
    <xf numFmtId="43" fontId="2" fillId="0" borderId="0" xfId="0" applyNumberFormat="1" applyFont="1"/>
    <xf numFmtId="43" fontId="2" fillId="0" borderId="0" xfId="1" applyFont="1" applyFill="1"/>
    <xf numFmtId="43" fontId="11" fillId="0" borderId="0" xfId="1" applyFont="1" applyFill="1"/>
    <xf numFmtId="43" fontId="11" fillId="0" borderId="13" xfId="1" applyFont="1" applyFill="1" applyBorder="1"/>
    <xf numFmtId="43" fontId="16" fillId="0" borderId="13" xfId="1" applyFont="1" applyFill="1" applyBorder="1"/>
    <xf numFmtId="43" fontId="2" fillId="0" borderId="13" xfId="0" applyNumberFormat="1" applyFont="1" applyBorder="1"/>
    <xf numFmtId="43" fontId="11" fillId="0" borderId="13" xfId="1" applyFont="1" applyBorder="1"/>
    <xf numFmtId="43" fontId="7" fillId="0" borderId="14" xfId="1" applyFont="1" applyBorder="1"/>
    <xf numFmtId="43" fontId="0" fillId="0" borderId="14" xfId="0" applyNumberFormat="1" applyBorder="1"/>
    <xf numFmtId="43" fontId="16" fillId="0" borderId="0" xfId="1" applyFont="1" applyFill="1"/>
    <xf numFmtId="43" fontId="17" fillId="0" borderId="0" xfId="1" applyFont="1" applyFill="1"/>
    <xf numFmtId="0" fontId="18" fillId="0" borderId="0" xfId="0" applyFont="1"/>
    <xf numFmtId="43" fontId="19" fillId="0" borderId="0" xfId="1" applyFont="1" applyFill="1"/>
    <xf numFmtId="43" fontId="20" fillId="0" borderId="0" xfId="1" applyFont="1" applyFill="1"/>
    <xf numFmtId="43" fontId="4" fillId="0" borderId="0" xfId="1" applyFont="1" applyFill="1"/>
    <xf numFmtId="43" fontId="20" fillId="0" borderId="12" xfId="1" applyFont="1" applyFill="1" applyBorder="1"/>
    <xf numFmtId="43" fontId="0" fillId="0" borderId="12" xfId="1" applyFont="1" applyFill="1" applyBorder="1"/>
    <xf numFmtId="43" fontId="21" fillId="0" borderId="0" xfId="1" applyFont="1" applyFill="1"/>
    <xf numFmtId="43" fontId="22" fillId="7" borderId="0" xfId="1" applyFont="1" applyFill="1"/>
    <xf numFmtId="43" fontId="18" fillId="7" borderId="0" xfId="1" applyFont="1" applyFill="1"/>
    <xf numFmtId="0" fontId="22" fillId="0" borderId="0" xfId="0" applyFont="1"/>
    <xf numFmtId="14" fontId="0" fillId="11" borderId="0" xfId="0" applyNumberFormat="1" applyFill="1"/>
    <xf numFmtId="43" fontId="0" fillId="11" borderId="0" xfId="1" applyFont="1" applyFill="1"/>
    <xf numFmtId="0" fontId="0" fillId="11" borderId="0" xfId="0" applyFill="1"/>
    <xf numFmtId="43" fontId="11" fillId="11" borderId="0" xfId="1" applyFont="1" applyFill="1"/>
    <xf numFmtId="43" fontId="0" fillId="12" borderId="0" xfId="1" applyFont="1" applyFill="1"/>
    <xf numFmtId="0" fontId="0" fillId="0" borderId="15" xfId="0" applyBorder="1" applyAlignment="1">
      <alignment horizontal="right"/>
    </xf>
    <xf numFmtId="0" fontId="0" fillId="0" borderId="18" xfId="0" applyBorder="1"/>
    <xf numFmtId="0" fontId="0" fillId="0" borderId="0" xfId="0" applyBorder="1"/>
    <xf numFmtId="0" fontId="7" fillId="0" borderId="0" xfId="0" applyFont="1" applyBorder="1"/>
    <xf numFmtId="43" fontId="0" fillId="0" borderId="0" xfId="0" applyNumberFormat="1" applyFill="1"/>
    <xf numFmtId="43" fontId="0" fillId="4" borderId="0" xfId="0" applyNumberFormat="1" applyFill="1"/>
    <xf numFmtId="43" fontId="0" fillId="2" borderId="0" xfId="0" applyNumberFormat="1" applyFill="1"/>
    <xf numFmtId="43" fontId="0" fillId="13" borderId="0" xfId="0" applyNumberFormat="1" applyFill="1"/>
    <xf numFmtId="43" fontId="0" fillId="14" borderId="0" xfId="1" applyFont="1" applyFill="1"/>
    <xf numFmtId="0" fontId="0" fillId="14" borderId="0" xfId="0" applyFill="1"/>
    <xf numFmtId="43" fontId="0" fillId="14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2" fillId="0" borderId="0" xfId="0" applyFont="1" applyFill="1"/>
  </cellXfs>
  <cellStyles count="5">
    <cellStyle name="Comma" xfId="1" builtinId="3"/>
    <cellStyle name="Excel Built-in Normal" xfId="3" xr:uid="{C91A592D-25FC-4C0B-9640-A10562328933}"/>
    <cellStyle name="Input" xfId="4" builtinId="20"/>
    <cellStyle name="Normal" xfId="0" builtinId="0"/>
    <cellStyle name="Percent" xfId="2" builtinId="5"/>
  </cellStyles>
  <dxfs count="3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numFmt numFmtId="35" formatCode="_-* #,##0.00_-;\-* #,##0.00_-;_-* &quot;-&quot;??_-;_-@_-"/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none">
          <bgColor auto="1"/>
        </patternFill>
      </fill>
    </dxf>
    <dxf>
      <numFmt numFmtId="35" formatCode="_-* #,##0.00_-;\-* #,##0.00_-;_-* &quot;-&quot;??_-;_-@_-"/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5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none">
          <bgColor auto="1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35" formatCode="_-* #,##0.00_-;\-* #,##0.00_-;_-* &quot;-&quot;??_-;_-@_-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35" formatCode="_-* #,##0.00_-;\-* #,##0.00_-;_-* &quot;-&quot;??_-;_-@_-"/>
    </dxf>
  </dxfs>
  <tableStyles count="0" defaultTableStyle="TableStyleMedium2" defaultPivotStyle="PivotStyleLight16"/>
  <colors>
    <mruColors>
      <color rgb="FFFCD0E8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520700</xdr:colOff>
      <xdr:row>4</xdr:row>
      <xdr:rowOff>0</xdr:rowOff>
    </xdr:from>
    <xdr:to>
      <xdr:col>16</xdr:col>
      <xdr:colOff>274235</xdr:colOff>
      <xdr:row>9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17FD2-73EE-4B6C-A832-D18FF637D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07950" y="736600"/>
          <a:ext cx="3607985" cy="10960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76201</xdr:colOff>
      <xdr:row>6</xdr:row>
      <xdr:rowOff>44473</xdr:rowOff>
    </xdr:from>
    <xdr:to>
      <xdr:col>7</xdr:col>
      <xdr:colOff>107950</xdr:colOff>
      <xdr:row>11</xdr:row>
      <xdr:rowOff>47967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F24DC3-565E-B6A4-4147-BE8EA2717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9851" y="1168423"/>
          <a:ext cx="3333749" cy="924244"/>
        </a:xfrm>
        <a:prstGeom prst="rect">
          <a:avLst/>
        </a:prstGeom>
      </xdr:spPr>
    </xdr:pic>
    <xdr:clientData/>
  </xdr:twoCellAnchor>
  <xdr:twoCellAnchor editAs="oneCell">
    <xdr:from>
      <xdr:col>4</xdr:col>
      <xdr:colOff>175034</xdr:colOff>
      <xdr:row>14</xdr:row>
      <xdr:rowOff>151625</xdr:rowOff>
    </xdr:from>
    <xdr:to>
      <xdr:col>7</xdr:col>
      <xdr:colOff>247650</xdr:colOff>
      <xdr:row>20</xdr:row>
      <xdr:rowOff>57480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230E0C-E384-C916-9728-D4114FAC6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8684" y="2748775"/>
          <a:ext cx="3374616" cy="1010755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24</xdr:row>
      <xdr:rowOff>86704</xdr:rowOff>
    </xdr:from>
    <xdr:to>
      <xdr:col>8</xdr:col>
      <xdr:colOff>455917</xdr:colOff>
      <xdr:row>31</xdr:row>
      <xdr:rowOff>60905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942AAE-C345-55BF-E72B-0BF1F185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7650" y="4525354"/>
          <a:ext cx="4113517" cy="1263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215900</xdr:colOff>
      <xdr:row>29</xdr:row>
      <xdr:rowOff>88900</xdr:rowOff>
    </xdr:from>
    <xdr:to>
      <xdr:col>11</xdr:col>
      <xdr:colOff>71911</xdr:colOff>
      <xdr:row>34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73B955-1A91-E23D-41D3-4799877D3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2400" y="5492750"/>
          <a:ext cx="3558061" cy="882650"/>
        </a:xfrm>
        <a:prstGeom prst="rect">
          <a:avLst/>
        </a:prstGeom>
      </xdr:spPr>
    </xdr:pic>
    <xdr:clientData/>
  </xdr:twoCellAnchor>
  <xdr:twoCellAnchor editAs="oneCell">
    <xdr:from>
      <xdr:col>7</xdr:col>
      <xdr:colOff>137245</xdr:colOff>
      <xdr:row>16</xdr:row>
      <xdr:rowOff>152401</xdr:rowOff>
    </xdr:from>
    <xdr:to>
      <xdr:col>11</xdr:col>
      <xdr:colOff>515549</xdr:colOff>
      <xdr:row>22</xdr:row>
      <xdr:rowOff>50801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1698CE-9C46-AD84-29ED-D3ECEB55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3745" y="3130551"/>
          <a:ext cx="4080354" cy="10223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litebook" refreshedDate="46134.570024652778" createdVersion="8" refreshedVersion="8" minRefreshableVersion="3" recordCount="129" xr:uid="{D3B27BA2-393E-4199-85FE-9CE17AF73C67}">
  <cacheSource type="worksheet">
    <worksheetSource ref="A5:K212" sheet="Cashbook"/>
  </cacheSource>
  <cacheFields count="11">
    <cacheField name="Date" numFmtId="0">
      <sharedItems containsNonDate="0" containsDate="1" containsString="0" containsBlank="1" minDate="2025-04-06T00:00:00" maxDate="2026-04-02T00:00:00"/>
    </cacheField>
    <cacheField name="Payee" numFmtId="0">
      <sharedItems containsBlank="1"/>
    </cacheField>
    <cacheField name="Description" numFmtId="0">
      <sharedItems containsBlank="1"/>
    </cacheField>
    <cacheField name="Voucher" numFmtId="0">
      <sharedItems containsBlank="1"/>
    </cacheField>
    <cacheField name="Net" numFmtId="0">
      <sharedItems containsString="0" containsBlank="1" containsNumber="1" minValue="-18.34" maxValue="49421.52"/>
    </cacheField>
    <cacheField name="VAT" numFmtId="0">
      <sharedItems containsString="0" containsBlank="1" containsNumber="1" minValue="0" maxValue="1290.01"/>
    </cacheField>
    <cacheField name="Gross" numFmtId="0">
      <sharedItems containsString="0" containsBlank="1" containsNumber="1" minValue="-18.34" maxValue="50711.53"/>
    </cacheField>
    <cacheField name="Receipt" numFmtId="43">
      <sharedItems containsString="0" containsBlank="1" containsNumber="1" minValue="10.92" maxValue="37441.19"/>
    </cacheField>
    <cacheField name="Balance" numFmtId="0">
      <sharedItems containsBlank="1" containsMixedTypes="1" containsNumber="1" minValue="36921.490000000005" maxValue="72185.050000000017"/>
    </cacheField>
    <cacheField name="Analysis" numFmtId="0">
      <sharedItems containsBlank="1" count="25">
        <m/>
        <s v="Pension contribution "/>
        <s v="Precept received"/>
        <s v="PWL"/>
        <s v="Clerk's Salary + Office"/>
        <s v="Subscriptions "/>
        <s v="Audit"/>
        <s v="Payroll admin: Azets "/>
        <s v="MTC"/>
        <s v="Environment &amp; Amenities"/>
        <s v="Training "/>
        <s v="Receipt: VAT repaid"/>
        <s v="Insurance"/>
        <s v="IT costs"/>
        <s v="Rec Field Grant"/>
        <s v="Grants "/>
        <s v="Hall Bookings"/>
        <s v="Welcome Fund Initiative"/>
        <s v="Defib Fund"/>
        <s v="Donations (Sec137) "/>
        <s v="CIL"/>
        <s v="Admin"/>
        <s v="Total"/>
        <s v="Pension Contribution" u="1"/>
        <s v="Subscriptions" u="1"/>
      </sharedItems>
    </cacheField>
    <cacheField name="Status" numFmtId="43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9">
  <r>
    <d v="2025-04-06T00:00:00"/>
    <m/>
    <s v="Balance b/f"/>
    <m/>
    <m/>
    <m/>
    <m/>
    <m/>
    <n v="50191.83"/>
    <x v="0"/>
    <s v="Paid"/>
  </r>
  <r>
    <d v="2025-04-07T00:00:00"/>
    <s v="Nest"/>
    <s v="Pension Contribution"/>
    <s v="DD"/>
    <n v="16.149999999999999"/>
    <n v="0"/>
    <n v="16.149999999999999"/>
    <m/>
    <n v="50175.68"/>
    <x v="1"/>
    <s v="Paid"/>
  </r>
  <r>
    <d v="2025-04-15T00:00:00"/>
    <s v="CDC Payments "/>
    <s v="Precept"/>
    <m/>
    <m/>
    <m/>
    <n v="0"/>
    <n v="17100"/>
    <n v="67275.679999999993"/>
    <x v="2"/>
    <s v="Paid"/>
  </r>
  <r>
    <d v="2025-05-07T00:00:00"/>
    <s v="Nest"/>
    <s v="Pension Contribution"/>
    <s v="DD"/>
    <n v="16.149999999999999"/>
    <n v="0"/>
    <n v="16.149999999999999"/>
    <m/>
    <n v="67259.53"/>
    <x v="1"/>
    <s v="Paid"/>
  </r>
  <r>
    <d v="2025-05-09T00:00:00"/>
    <s v="Public Works Loan"/>
    <s v="Loan Repayment"/>
    <s v="DD"/>
    <n v="1414.93"/>
    <n v="0"/>
    <n v="1414.93"/>
    <m/>
    <n v="65844.600000000006"/>
    <x v="3"/>
    <s v="Paid"/>
  </r>
  <r>
    <d v="2025-05-15T00:00:00"/>
    <s v="V Williams   30.04.2025"/>
    <s v="Salary £ - P.1 Office"/>
    <s v="OL256"/>
    <n v="675.08999999999992"/>
    <n v="0"/>
    <n v="675.08999999999992"/>
    <m/>
    <n v="65169.510000000009"/>
    <x v="4"/>
    <s v="Paid"/>
  </r>
  <r>
    <d v="2025-05-15T00:00:00"/>
    <s v="Clerk's Expenses"/>
    <s v="P1"/>
    <s v="OL256"/>
    <n v="58.33"/>
    <n v="0"/>
    <n v="58.33"/>
    <m/>
    <n v="65111.180000000008"/>
    <x v="4"/>
    <s v="Paid"/>
  </r>
  <r>
    <d v="2025-05-15T00:00:00"/>
    <s v="HMRC"/>
    <s v="PAYE - P1"/>
    <s v="OL257"/>
    <n v="39.68"/>
    <n v="0"/>
    <n v="39.68"/>
    <m/>
    <n v="65071.500000000007"/>
    <x v="4"/>
    <s v="Paid"/>
  </r>
  <r>
    <d v="2025-05-15T00:00:00"/>
    <s v="WSALC"/>
    <s v="Subscription"/>
    <s v="OL258"/>
    <n v="314.25"/>
    <n v="0"/>
    <n v="314.25"/>
    <m/>
    <n v="64757.250000000007"/>
    <x v="5"/>
    <s v="Paid"/>
  </r>
  <r>
    <d v="2025-05-15T00:00:00"/>
    <s v="Mulberry &amp; Co."/>
    <s v="Internal Audit"/>
    <s v="OL259"/>
    <n v="146.25"/>
    <n v="29.25"/>
    <n v="175.5"/>
    <m/>
    <n v="64581.750000000007"/>
    <x v="6"/>
    <s v="Paid"/>
  </r>
  <r>
    <d v="2025-05-15T00:00:00"/>
    <s v="Azets"/>
    <s v="Payroll Services Q3 &amp; Q4 24-25"/>
    <s v="OL260"/>
    <n v="130"/>
    <n v="26"/>
    <n v="156"/>
    <m/>
    <n v="64425.750000000007"/>
    <x v="7"/>
    <s v="Paid"/>
  </r>
  <r>
    <d v="2025-05-15T00:00:00"/>
    <s v="Coloured Courts"/>
    <s v="Court Clean and treament "/>
    <s v="OL261"/>
    <n v="780"/>
    <n v="156"/>
    <n v="936"/>
    <m/>
    <n v="63489.750000000007"/>
    <x v="8"/>
    <s v="Paid"/>
  </r>
  <r>
    <d v="2025-05-15T00:00:00"/>
    <s v="Rob Findlay"/>
    <s v="Parish Maintenance"/>
    <s v="OL262"/>
    <n v="250"/>
    <n v="0"/>
    <n v="250"/>
    <m/>
    <n v="63239.750000000007"/>
    <x v="9"/>
    <s v="Paid"/>
  </r>
  <r>
    <d v="2025-05-15T00:00:00"/>
    <s v="Surefire Training"/>
    <s v="Basic First Aid and AED Training Course"/>
    <s v="OL263"/>
    <n v="175"/>
    <n v="0"/>
    <n v="175"/>
    <m/>
    <n v="63064.750000000007"/>
    <x v="10"/>
    <s v="Paid"/>
  </r>
  <r>
    <d v="2025-06-05T00:00:00"/>
    <s v="Nest"/>
    <s v="Pension Contribution"/>
    <s v="DD"/>
    <n v="16.149999999999999"/>
    <n v="0"/>
    <n v="16.149999999999999"/>
    <m/>
    <n v="63048.600000000006"/>
    <x v="1"/>
    <s v="Paid"/>
  </r>
  <r>
    <d v="2025-06-09T00:00:00"/>
    <s v="V Williams P2"/>
    <s v="Salary £ - P.2 Office £58.33"/>
    <s v="OL264"/>
    <n v="675.09"/>
    <n v="0"/>
    <n v="675.09"/>
    <m/>
    <n v="62373.510000000009"/>
    <x v="4"/>
    <s v="Paid"/>
  </r>
  <r>
    <d v="2025-06-09T00:00:00"/>
    <s v="Clerk's Expenses"/>
    <s v="P2"/>
    <s v="OL264"/>
    <n v="58.33"/>
    <n v="0"/>
    <n v="58.33"/>
    <m/>
    <n v="62315.180000000008"/>
    <x v="4"/>
    <s v="Paid"/>
  </r>
  <r>
    <d v="2025-06-09T00:00:00"/>
    <s v="HMRC"/>
    <s v="PAYE 2602"/>
    <s v="OL265"/>
    <n v="39.68"/>
    <n v="0"/>
    <n v="39.68"/>
    <m/>
    <n v="62275.500000000007"/>
    <x v="4"/>
    <s v="Paid"/>
  </r>
  <r>
    <d v="2025-06-09T00:00:00"/>
    <s v="Playsafety Limited"/>
    <s v="RoSPA"/>
    <s v="OL266"/>
    <n v="108"/>
    <n v="21.6"/>
    <n v="129.6"/>
    <m/>
    <n v="62145.900000000009"/>
    <x v="9"/>
    <s v="Paid"/>
  </r>
  <r>
    <d v="2025-06-10T00:00:00"/>
    <s v="HMRC"/>
    <s v="VAT refund"/>
    <m/>
    <m/>
    <m/>
    <n v="0"/>
    <n v="730.27"/>
    <n v="62876.170000000006"/>
    <x v="11"/>
    <s v="Paid"/>
  </r>
  <r>
    <d v="2025-06-18T00:00:00"/>
    <s v="Clear Councils (BHIB)"/>
    <s v="Insurance Renewal"/>
    <s v="OL267"/>
    <n v="772.83"/>
    <n v="0"/>
    <n v="772.83"/>
    <m/>
    <n v="62103.340000000004"/>
    <x v="12"/>
    <s v="Paid"/>
  </r>
  <r>
    <d v="2025-06-30T00:00:00"/>
    <s v="Public Works Loan"/>
    <s v="Loan Repayment"/>
    <s v="DD"/>
    <n v="654.95000000000005"/>
    <n v="0"/>
    <n v="654.95000000000005"/>
    <m/>
    <n v="61448.390000000007"/>
    <x v="3"/>
    <s v="Paid"/>
  </r>
  <r>
    <d v="2025-07-07T00:00:00"/>
    <s v="Nest"/>
    <s v="Pension Contribution"/>
    <s v="DD"/>
    <n v="16.149999999999999"/>
    <n v="0"/>
    <n v="16.149999999999999"/>
    <m/>
    <n v="61432.240000000005"/>
    <x v="1"/>
    <s v="Paid"/>
  </r>
  <r>
    <d v="2025-07-10T00:00:00"/>
    <s v="V Williams P3"/>
    <s v="Salary £ - P.3 "/>
    <s v="OL268"/>
    <n v="675.09"/>
    <n v="0"/>
    <n v="675.09"/>
    <m/>
    <n v="60757.150000000009"/>
    <x v="4"/>
    <s v="Paid"/>
  </r>
  <r>
    <d v="2025-07-10T00:00:00"/>
    <s v="V Williams"/>
    <s v="Clerk's Expenses P3"/>
    <s v="OL268"/>
    <n v="58.33"/>
    <n v="0"/>
    <n v="58.33"/>
    <m/>
    <n v="60698.820000000007"/>
    <x v="4"/>
    <s v="Paid"/>
  </r>
  <r>
    <d v="2025-07-10T00:00:00"/>
    <s v="HMRC"/>
    <s v="PAYE 2603"/>
    <s v="OL269"/>
    <n v="39.68"/>
    <n v="0"/>
    <n v="39.68"/>
    <m/>
    <n v="60659.140000000007"/>
    <x v="4"/>
    <s v="Paid"/>
  </r>
  <r>
    <d v="2025-07-10T00:00:00"/>
    <s v="Rob Findlay"/>
    <s v="Parish Maintenance"/>
    <s v="OL270"/>
    <n v="157"/>
    <n v="0"/>
    <n v="157"/>
    <m/>
    <n v="60502.140000000007"/>
    <x v="9"/>
    <s v="Paid"/>
  </r>
  <r>
    <d v="2025-07-10T00:00:00"/>
    <s v="REIM V Williams"/>
    <s v="Claranet - Domain Name"/>
    <s v="OL271"/>
    <n v="12.16"/>
    <n v="2.4300000000000002"/>
    <n v="14.59"/>
    <m/>
    <n v="60487.55000000001"/>
    <x v="13"/>
    <s v="Paid"/>
  </r>
  <r>
    <d v="2025-07-10T00:00:00"/>
    <s v="Recreation Field"/>
    <s v="Maintenance Grant 1 / 2"/>
    <s v="OL272"/>
    <n v="2750"/>
    <n v="0"/>
    <n v="2750"/>
    <m/>
    <n v="57737.55000000001"/>
    <x v="14"/>
    <s v="Paid"/>
  </r>
  <r>
    <d v="2025-07-10T00:00:00"/>
    <s v="Recreation Field"/>
    <s v="Administration Grant 1 / 2"/>
    <s v="OL273"/>
    <n v="500"/>
    <n v="0"/>
    <n v="500"/>
    <m/>
    <n v="57237.55000000001"/>
    <x v="14"/>
    <s v="Paid"/>
  </r>
  <r>
    <d v="2025-07-10T00:00:00"/>
    <s v="Cartersland Wildflower Group"/>
    <s v="Grant"/>
    <s v="OL274"/>
    <n v="200"/>
    <n v="0"/>
    <n v="200"/>
    <m/>
    <n v="57037.55000000001"/>
    <x v="15"/>
    <s v="Paid"/>
  </r>
  <r>
    <d v="2025-07-10T00:00:00"/>
    <s v="(M/I/L) Churches"/>
    <s v="Grant"/>
    <s v="OL275"/>
    <n v="1000"/>
    <n v="0"/>
    <n v="1000"/>
    <m/>
    <n v="56037.55000000001"/>
    <x v="15"/>
    <s v="Paid"/>
  </r>
  <r>
    <d v="2025-07-10T00:00:00"/>
    <s v="Milland Valley Memorial Hall"/>
    <s v="Hall Hire"/>
    <s v="OL277"/>
    <n v="139"/>
    <n v="0"/>
    <n v="139"/>
    <m/>
    <n v="55898.55000000001"/>
    <x v="16"/>
    <s v="Paid"/>
  </r>
  <r>
    <d v="2025-07-10T00:00:00"/>
    <s v="Vision ICT"/>
    <s v="Website Hosting &amp; Support"/>
    <s v="OL278"/>
    <n v="175"/>
    <n v="35"/>
    <n v="210"/>
    <m/>
    <n v="55688.55000000001"/>
    <x v="13"/>
    <s v="Paid"/>
  </r>
  <r>
    <d v="2025-07-10T00:00:00"/>
    <s v="Azets"/>
    <s v="Payroll Services"/>
    <s v="OL279"/>
    <n v="65"/>
    <n v="13"/>
    <n v="78"/>
    <m/>
    <n v="55610.55000000001"/>
    <x v="7"/>
    <s v="Paid"/>
  </r>
  <r>
    <d v="2025-07-31T00:00:00"/>
    <s v="V Williams P4"/>
    <s v="Salary £ - P.4 "/>
    <s v="OL281"/>
    <n v="675.09"/>
    <n v="0"/>
    <n v="675.09"/>
    <m/>
    <n v="54935.460000000014"/>
    <x v="4"/>
    <s v="Paid"/>
  </r>
  <r>
    <d v="2025-07-31T00:00:00"/>
    <s v="V Williams"/>
    <s v="Clerk's Expenses P3"/>
    <s v="OL281"/>
    <n v="58.33"/>
    <n v="0"/>
    <n v="58.33"/>
    <m/>
    <n v="54877.130000000012"/>
    <x v="4"/>
    <s v="Paid"/>
  </r>
  <r>
    <d v="2025-07-31T00:00:00"/>
    <s v="HMRC"/>
    <s v="PAYE 2604"/>
    <s v="OL282"/>
    <n v="39.68"/>
    <n v="0"/>
    <n v="39.68"/>
    <m/>
    <n v="54837.450000000012"/>
    <x v="4"/>
    <s v="Paid"/>
  </r>
  <r>
    <d v="2025-08-06T00:00:00"/>
    <s v="Nest"/>
    <s v="Pension Contribution"/>
    <m/>
    <n v="16.149999999999999"/>
    <n v="0"/>
    <n v="16.149999999999999"/>
    <m/>
    <n v="54821.30000000001"/>
    <x v="4"/>
    <s v="Paid"/>
  </r>
  <r>
    <d v="2025-09-05T00:00:00"/>
    <s v="Nest"/>
    <s v="Pension Contribution"/>
    <m/>
    <n v="27.07"/>
    <n v="0"/>
    <n v="27.07"/>
    <m/>
    <n v="54794.23000000001"/>
    <x v="4"/>
    <s v="Paid"/>
  </r>
  <r>
    <d v="2025-09-12T00:00:00"/>
    <s v="CDC Payments "/>
    <s v="Precept"/>
    <m/>
    <m/>
    <m/>
    <n v="0"/>
    <n v="17100"/>
    <n v="71894.23000000001"/>
    <x v="2"/>
    <s v="Paid"/>
  </r>
  <r>
    <d v="2025-09-15T00:00:00"/>
    <s v="V Williams    "/>
    <s v="Salary £ - P.5 "/>
    <m/>
    <n v="779.91"/>
    <n v="0"/>
    <n v="779.91"/>
    <m/>
    <n v="71114.320000000007"/>
    <x v="4"/>
    <s v="Paid"/>
  </r>
  <r>
    <d v="2025-09-15T00:00:00"/>
    <s v="V Williams    "/>
    <s v="Clerk's Expenses"/>
    <m/>
    <n v="58.33"/>
    <n v="0"/>
    <n v="58.33"/>
    <m/>
    <n v="71055.990000000005"/>
    <x v="4"/>
    <s v="Paid"/>
  </r>
  <r>
    <d v="2025-09-15T00:00:00"/>
    <s v="HMRC       "/>
    <s v="PAYE 2605"/>
    <m/>
    <n v="56.06"/>
    <n v="0"/>
    <n v="56.06"/>
    <m/>
    <n v="70999.930000000008"/>
    <x v="4"/>
    <s v="Paid"/>
  </r>
  <r>
    <d v="2025-09-15T00:00:00"/>
    <s v="R Findlay"/>
    <s v="Parish Maintenance"/>
    <m/>
    <n v="37"/>
    <n v="0"/>
    <n v="37"/>
    <m/>
    <n v="70962.930000000008"/>
    <x v="9"/>
    <s v="Paid"/>
  </r>
  <r>
    <d v="2025-09-15T00:00:00"/>
    <s v="REIMB V Williams"/>
    <s v="MTC Net - Sports Equip"/>
    <m/>
    <n v="142"/>
    <n v="28.4"/>
    <n v="170.4"/>
    <m/>
    <n v="70792.530000000013"/>
    <x v="8"/>
    <s v="Paid"/>
  </r>
  <r>
    <d v="2025-09-15T00:00:00"/>
    <s v="REIMB V Williams"/>
    <s v="MTC Net - Sports Equip"/>
    <m/>
    <n v="142"/>
    <n v="28.4"/>
    <n v="170.4"/>
    <m/>
    <n v="70622.130000000019"/>
    <x v="8"/>
    <s v="Paid"/>
  </r>
  <r>
    <d v="2025-09-15T00:00:00"/>
    <s v="REIMB V Williams"/>
    <s v="MTC Net Straps Edwards Sports"/>
    <m/>
    <n v="56.06"/>
    <n v="0"/>
    <n v="56.06"/>
    <m/>
    <n v="70566.070000000022"/>
    <x v="8"/>
    <s v="Paid"/>
  </r>
  <r>
    <d v="2025-09-30T00:00:00"/>
    <s v="V Williams    "/>
    <s v="Salary £ - P.5 "/>
    <m/>
    <n v="696.05"/>
    <n v="0"/>
    <n v="696.05"/>
    <m/>
    <n v="69870.020000000019"/>
    <x v="4"/>
    <s v="Paid"/>
  </r>
  <r>
    <d v="2025-09-30T00:00:00"/>
    <s v="Clerk's Expenses"/>
    <s v="Clerk's Expenses"/>
    <m/>
    <n v="58.33"/>
    <n v="0"/>
    <n v="58.33"/>
    <m/>
    <n v="69811.690000000017"/>
    <x v="4"/>
    <s v="Paid"/>
  </r>
  <r>
    <d v="2025-09-30T00:00:00"/>
    <s v="HMRC       "/>
    <s v="PAYE 2605"/>
    <m/>
    <n v="42.96"/>
    <n v="0"/>
    <n v="42.96"/>
    <m/>
    <n v="69768.73000000001"/>
    <x v="4"/>
    <s v="Paid"/>
  </r>
  <r>
    <d v="2025-10-03T00:00:00"/>
    <s v="ICO"/>
    <s v="Annual Subscription"/>
    <m/>
    <n v="47"/>
    <n v="0"/>
    <n v="47"/>
    <m/>
    <n v="69721.73000000001"/>
    <x v="5"/>
    <s v="Paid"/>
  </r>
  <r>
    <d v="2025-10-07T00:00:00"/>
    <s v="Nest"/>
    <s v="Pension Contribution"/>
    <m/>
    <n v="18.34"/>
    <n v="0"/>
    <n v="18.34"/>
    <m/>
    <n v="69703.390000000014"/>
    <x v="4"/>
    <m/>
  </r>
  <r>
    <d v="2025-11-05T00:00:00"/>
    <s v="Nest"/>
    <s v="Pension Contribution"/>
    <m/>
    <n v="18.34"/>
    <n v="0"/>
    <n v="18.34"/>
    <m/>
    <n v="69685.050000000017"/>
    <x v="4"/>
    <m/>
  </r>
  <r>
    <d v="2025-11-10T00:00:00"/>
    <s v="MTC "/>
    <s v="Income"/>
    <m/>
    <n v="0"/>
    <n v="0"/>
    <n v="0"/>
    <n v="2500"/>
    <n v="72185.050000000017"/>
    <x v="8"/>
    <m/>
  </r>
  <r>
    <d v="2025-11-10T00:00:00"/>
    <s v="Public Works Loan"/>
    <s v="Loan Repayment"/>
    <m/>
    <n v="1387.73"/>
    <n v="0"/>
    <n v="1387.73"/>
    <m/>
    <n v="70797.320000000022"/>
    <x v="3"/>
    <m/>
  </r>
  <r>
    <d v="2025-11-14T00:00:00"/>
    <s v="HMRC"/>
    <s v="PAYE 2607"/>
    <m/>
    <n v="42.96"/>
    <n v="0"/>
    <n v="42.96"/>
    <m/>
    <n v="70754.360000000015"/>
    <x v="4"/>
    <s v="Paid"/>
  </r>
  <r>
    <d v="2025-11-14T00:00:00"/>
    <s v="Rob Findlay"/>
    <s v="Parish Maintenance"/>
    <m/>
    <n v="537"/>
    <n v="0"/>
    <n v="537"/>
    <m/>
    <n v="70217.360000000015"/>
    <x v="9"/>
    <s v="Paid"/>
  </r>
  <r>
    <d v="2025-11-14T00:00:00"/>
    <s v="Reimb V Williams"/>
    <s v="Hall Hire Finance Meeting"/>
    <m/>
    <n v="25"/>
    <n v="0"/>
    <n v="25"/>
    <m/>
    <n v="70192.360000000015"/>
    <x v="16"/>
    <s v="Paid"/>
  </r>
  <r>
    <d v="2025-11-14T00:00:00"/>
    <s v="Reimb V Williams"/>
    <s v="Azets Payroll"/>
    <m/>
    <n v="65"/>
    <n v="13"/>
    <n v="78"/>
    <m/>
    <n v="70114.360000000015"/>
    <x v="7"/>
    <s v="Paid"/>
  </r>
  <r>
    <d v="2025-11-14T00:00:00"/>
    <s v="Reimb L Myles"/>
    <s v="Indeed Job Advert"/>
    <m/>
    <n v="75.209999999999994"/>
    <n v="0"/>
    <n v="75.209999999999994"/>
    <m/>
    <n v="70039.150000000009"/>
    <x v="4"/>
    <s v="Paid"/>
  </r>
  <r>
    <d v="2025-11-14T00:00:00"/>
    <s v="Reimb L Myles"/>
    <s v="Meet Up Coffees"/>
    <m/>
    <n v="46.3"/>
    <n v="0"/>
    <n v="46.3"/>
    <m/>
    <n v="69992.850000000006"/>
    <x v="17"/>
    <s v="Paid"/>
  </r>
  <r>
    <d v="2025-11-14T00:00:00"/>
    <s v="Reimb C Collins"/>
    <s v="Wel Medical Defibrillator Battery"/>
    <m/>
    <n v="238.99"/>
    <n v="47.8"/>
    <n v="286.79000000000002"/>
    <m/>
    <n v="69706.060000000012"/>
    <x v="18"/>
    <s v="Paid"/>
  </r>
  <r>
    <d v="2025-11-14T00:00:00"/>
    <s v="Reimb C Collins"/>
    <s v="Phoebox Refurb"/>
    <m/>
    <n v="235"/>
    <n v="0"/>
    <n v="235"/>
    <m/>
    <n v="69471.060000000012"/>
    <x v="18"/>
    <s v="Paid"/>
  </r>
  <r>
    <d v="2025-11-14T00:00:00"/>
    <s v="Air Ambulance"/>
    <s v="Donation"/>
    <m/>
    <n v="250"/>
    <n v="0"/>
    <n v="250"/>
    <m/>
    <n v="69221.060000000012"/>
    <x v="19"/>
    <s v="Paid"/>
  </r>
  <r>
    <d v="2025-11-14T00:00:00"/>
    <s v="Linch PCC"/>
    <s v="Bettesworth Room Hire 02 October 2025"/>
    <m/>
    <n v="32"/>
    <n v="0"/>
    <n v="32"/>
    <m/>
    <n v="69189.060000000012"/>
    <x v="16"/>
    <s v="Paid"/>
  </r>
  <r>
    <d v="2025-11-14T00:00:00"/>
    <s v="Mulberry &amp; Co."/>
    <s v="Internal Audit"/>
    <m/>
    <n v="211.25"/>
    <n v="42.25"/>
    <n v="253.5"/>
    <m/>
    <n v="68935.560000000012"/>
    <x v="6"/>
    <s v="Paid"/>
  </r>
  <r>
    <d v="2025-11-17T00:00:00"/>
    <s v="V Williams P7"/>
    <s v="Salary Oct"/>
    <m/>
    <n v="754.38"/>
    <n v="0"/>
    <n v="754.38"/>
    <m/>
    <n v="68181.180000000008"/>
    <x v="4"/>
    <s v="Paid"/>
  </r>
  <r>
    <d v="2025-11-17T00:00:00"/>
    <s v="HMRC"/>
    <s v="Employer Tax / NI"/>
    <m/>
    <n v="42.96"/>
    <n v="0"/>
    <n v="42.96"/>
    <m/>
    <n v="68138.22"/>
    <x v="4"/>
    <s v="Paid"/>
  </r>
  <r>
    <d v="2025-11-18T00:00:00"/>
    <s v="L Myles"/>
    <s v="Meet Up Coffees"/>
    <m/>
    <n v="48.1"/>
    <n v="0"/>
    <n v="48.1"/>
    <m/>
    <n v="68090.12"/>
    <x v="17"/>
    <s v="Paid"/>
  </r>
  <r>
    <d v="2025-12-01T00:00:00"/>
    <s v="MTC "/>
    <s v="refund overpayment"/>
    <m/>
    <n v="0"/>
    <n v="0"/>
    <n v="0"/>
    <n v="10.92"/>
    <n v="68101.039999999994"/>
    <x v="8"/>
    <m/>
  </r>
  <r>
    <d v="2025-12-01T00:00:00"/>
    <s v="Moore"/>
    <s v="INV 333037"/>
    <m/>
    <n v="236.25"/>
    <n v="47.25"/>
    <n v="283.5"/>
    <m/>
    <n v="67817.539999999994"/>
    <x v="6"/>
    <s v="Paid"/>
  </r>
  <r>
    <d v="2025-12-01T00:00:00"/>
    <s v="V Williams P8"/>
    <s v="SALARY NOV"/>
    <m/>
    <n v="754.38"/>
    <n v="0"/>
    <n v="754.38"/>
    <m/>
    <n v="67063.159999999989"/>
    <x v="4"/>
    <s v="Paid"/>
  </r>
  <r>
    <d v="2025-12-05T00:00:00"/>
    <s v="Nest"/>
    <s v="Pension Contribution"/>
    <m/>
    <n v="18.34"/>
    <n v="0"/>
    <n v="18.34"/>
    <m/>
    <n v="67044.819999999992"/>
    <x v="1"/>
    <s v="Paid"/>
  </r>
  <r>
    <d v="2025-12-08T00:00:00"/>
    <s v="Glasdon"/>
    <s v="INV. SI924311 BBP_x0009_"/>
    <m/>
    <n v="1499.5000000000002"/>
    <n v="299.90000000000003"/>
    <n v="1799.4000000000003"/>
    <m/>
    <n v="65245.419999999991"/>
    <x v="20"/>
    <s v="Paid"/>
  </r>
  <r>
    <d v="2025-12-22T00:00:00"/>
    <s v="D Somma"/>
    <s v="CLOUD BBP_x0009_"/>
    <m/>
    <n v="85"/>
    <n v="0"/>
    <n v="85"/>
    <m/>
    <n v="65160.419999999991"/>
    <x v="13"/>
    <s v="Paid"/>
  </r>
  <r>
    <d v="2025-12-29T00:00:00"/>
    <s v="Public Works Loan"/>
    <s v="MILLAND DDR_x0009_"/>
    <m/>
    <n v="654.95000000000005"/>
    <n v="0"/>
    <n v="654.95000000000005"/>
    <m/>
    <n v="64505.469999999994"/>
    <x v="3"/>
    <s v="Paid"/>
  </r>
  <r>
    <d v="2026-01-07T00:00:00"/>
    <s v="Nest"/>
    <s v="Pension Contribution"/>
    <m/>
    <n v="140.77000000000001"/>
    <n v="0"/>
    <n v="140.77000000000001"/>
    <m/>
    <n v="64364.7"/>
    <x v="1"/>
    <s v="Paid"/>
  </r>
  <r>
    <d v="2026-01-19T00:00:00"/>
    <s v="V Williams P9"/>
    <s v="Clerk Salary Dec"/>
    <m/>
    <n v="754.38"/>
    <n v="0"/>
    <n v="754.38"/>
    <m/>
    <n v="63610.32"/>
    <x v="4"/>
    <s v="Paid"/>
  </r>
  <r>
    <d v="2026-01-19T00:00:00"/>
    <s v="HMRC"/>
    <s v="Employer Tax / NI"/>
    <m/>
    <n v="418.42"/>
    <n v="0"/>
    <n v="418.42"/>
    <m/>
    <n v="63191.9"/>
    <x v="4"/>
    <s v="Paid"/>
  </r>
  <r>
    <d v="2026-01-19T00:00:00"/>
    <s v="D Somma"/>
    <s v="IT Support"/>
    <m/>
    <n v="20"/>
    <n v="0"/>
    <n v="20"/>
    <m/>
    <n v="63171.9"/>
    <x v="13"/>
    <s v="Paid"/>
  </r>
  <r>
    <d v="2026-01-19T00:00:00"/>
    <s v="Vision ICT"/>
    <s v="Inv 21183"/>
    <m/>
    <n v="20"/>
    <n v="4"/>
    <n v="24"/>
    <m/>
    <n v="63147.9"/>
    <x v="13"/>
    <s v="Paid"/>
  </r>
  <r>
    <d v="2026-01-26T00:00:00"/>
    <s v="Rob Findlay"/>
    <s v="Nov / Dec"/>
    <m/>
    <n v="720"/>
    <n v="0"/>
    <n v="720"/>
    <m/>
    <n v="62427.9"/>
    <x v="9"/>
    <s v="Paid"/>
  </r>
  <r>
    <d v="2026-01-26T00:00:00"/>
    <s v="R Denby P7-9"/>
    <s v="Clerk Salary Oct - Dec 26 "/>
    <m/>
    <n v="2101.3000000000002"/>
    <n v="0"/>
    <n v="2101.3000000000002"/>
    <m/>
    <n v="60326.6"/>
    <x v="4"/>
    <s v="Paid"/>
  </r>
  <r>
    <d v="2026-01-26T00:00:00"/>
    <s v="Hollycombe School"/>
    <s v="Library Grant"/>
    <m/>
    <n v="500"/>
    <n v="0"/>
    <n v="500"/>
    <m/>
    <n v="59826.6"/>
    <x v="15"/>
    <s v="Paid"/>
  </r>
  <r>
    <d v="2026-02-05T00:00:00"/>
    <s v="Nest"/>
    <s v="Pension Contribution"/>
    <m/>
    <n v="42.67"/>
    <n v="0"/>
    <n v="42.67"/>
    <m/>
    <n v="59783.93"/>
    <x v="1"/>
    <s v="Paid"/>
  </r>
  <r>
    <d v="2026-02-15T00:00:00"/>
    <s v="Boher Architecture"/>
    <s v="Inv 1192 Padel Court"/>
    <m/>
    <n v="44.66"/>
    <n v="8.73"/>
    <n v="53.39"/>
    <m/>
    <n v="59730.54"/>
    <x v="21"/>
    <s v="Not paid"/>
  </r>
  <r>
    <d v="2026-02-20T00:00:00"/>
    <s v="HMRC"/>
    <s v="Employer Tax / NI"/>
    <m/>
    <n v="136.54"/>
    <n v="0"/>
    <n v="136.54"/>
    <m/>
    <n v="59594"/>
    <x v="4"/>
    <s v="Paid"/>
  </r>
  <r>
    <d v="2026-02-20T00:00:00"/>
    <s v="R Denby P10"/>
    <s v="Clerk Salary Jan "/>
    <m/>
    <n v="827.63"/>
    <n v="0"/>
    <n v="827.63"/>
    <m/>
    <n v="58766.37"/>
    <x v="4"/>
    <s v="Paid"/>
  </r>
  <r>
    <d v="2026-02-20T00:00:00"/>
    <s v="WSALC"/>
    <s v="Inv 2094 LM Training"/>
    <m/>
    <n v="40"/>
    <n v="8"/>
    <n v="48"/>
    <m/>
    <n v="58718.37"/>
    <x v="10"/>
    <s v="Paid"/>
  </r>
  <r>
    <d v="2026-02-20T00:00:00"/>
    <s v="Milland Community Shop"/>
    <s v="Grant"/>
    <m/>
    <n v="300"/>
    <n v="0"/>
    <n v="300"/>
    <m/>
    <n v="58418.37"/>
    <x v="15"/>
    <s v="Paid"/>
  </r>
  <r>
    <d v="2026-02-28T00:00:00"/>
    <s v="R Denby"/>
    <s v="Clerk Salary Feb"/>
    <m/>
    <n v="827.63"/>
    <n v="0"/>
    <n v="827.63"/>
    <m/>
    <n v="57590.740000000005"/>
    <x v="4"/>
    <s v="Paid"/>
  </r>
  <r>
    <d v="2026-02-28T00:00:00"/>
    <s v="R Findlay"/>
    <s v="Jan / Feb Maintenance"/>
    <m/>
    <n v="868"/>
    <n v="0"/>
    <n v="868"/>
    <m/>
    <n v="56722.740000000005"/>
    <x v="9"/>
    <s v="Paid"/>
  </r>
  <r>
    <d v="2026-03-05T00:00:00"/>
    <s v="Stocksigns"/>
    <s v="INV SW70129/8 "/>
    <m/>
    <n v="2395"/>
    <n v="479"/>
    <n v="2874"/>
    <m/>
    <n v="53848.740000000005"/>
    <x v="20"/>
    <s v="Paid"/>
  </r>
  <r>
    <d v="2026-03-05T00:00:00"/>
    <s v="Nest"/>
    <s v="Pension Contribution"/>
    <m/>
    <n v="42.67"/>
    <n v="0"/>
    <n v="42.67"/>
    <m/>
    <n v="53806.070000000007"/>
    <x v="1"/>
    <s v="Paid"/>
  </r>
  <r>
    <d v="2026-03-17T00:00:00"/>
    <s v="NEST"/>
    <s v="Credit"/>
    <m/>
    <n v="-18.34"/>
    <m/>
    <n v="-18.34"/>
    <m/>
    <n v="53824.41"/>
    <x v="4"/>
    <s v="Paid"/>
  </r>
  <r>
    <d v="2026-03-18T00:00:00"/>
    <s v="HMRC"/>
    <s v="Employer Tax / NI"/>
    <m/>
    <n v="93.58"/>
    <n v="0"/>
    <n v="93.58"/>
    <m/>
    <n v="53730.83"/>
    <x v="4"/>
    <s v="Paid"/>
  </r>
  <r>
    <d v="2026-03-20T00:00:00"/>
    <s v="NEST"/>
    <s v="Credit"/>
    <m/>
    <n v="-18.29"/>
    <m/>
    <n v="-18.29"/>
    <m/>
    <n v="53749.120000000003"/>
    <x v="4"/>
    <s v="Paid"/>
  </r>
  <r>
    <d v="2026-03-25T00:00:00"/>
    <s v="The Milland Community Store"/>
    <s v="Grant"/>
    <m/>
    <n v="16000"/>
    <n v="0"/>
    <n v="16000"/>
    <m/>
    <n v="37749.120000000003"/>
    <x v="15"/>
    <s v="Paid"/>
  </r>
  <r>
    <d v="2026-04-01T00:00:00"/>
    <s v="R Denby "/>
    <s v="Clerk Salary Mar"/>
    <m/>
    <n v="827.63"/>
    <n v="0"/>
    <n v="827.63"/>
    <m/>
    <n v="36921.490000000005"/>
    <x v="4"/>
    <s v="Paid April"/>
  </r>
  <r>
    <m/>
    <m/>
    <m/>
    <m/>
    <n v="49421.52"/>
    <n v="1290.01"/>
    <n v="50711.53"/>
    <n v="37441.19"/>
    <m/>
    <x v="22"/>
    <m/>
  </r>
  <r>
    <m/>
    <m/>
    <m/>
    <m/>
    <m/>
    <m/>
    <m/>
    <n v="13270.339999999997"/>
    <s v="net spend"/>
    <x v="0"/>
    <m/>
  </r>
  <r>
    <m/>
    <m/>
    <m/>
    <m/>
    <m/>
    <m/>
    <m/>
    <n v="3142.1900000000023"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  <r>
    <m/>
    <m/>
    <m/>
    <m/>
    <m/>
    <m/>
    <m/>
    <m/>
    <m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0C59E3-071F-4AFA-90F6-EB4AA4A6D597}" name="PivotTable1" cacheId="1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7:E30" firstHeaderRow="0" firstDataRow="1" firstDataCol="1"/>
  <pivotFields count="11"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axis="axisRow" showAll="0">
      <items count="26">
        <item x="6"/>
        <item x="20"/>
        <item x="4"/>
        <item x="18"/>
        <item x="19"/>
        <item x="9"/>
        <item x="15"/>
        <item x="16"/>
        <item x="12"/>
        <item x="13"/>
        <item x="8"/>
        <item x="7"/>
        <item m="1" x="23"/>
        <item x="1"/>
        <item x="2"/>
        <item x="3"/>
        <item x="14"/>
        <item x="11"/>
        <item m="1" x="24"/>
        <item x="5"/>
        <item x="10"/>
        <item x="17"/>
        <item x="0"/>
        <item x="21"/>
        <item h="1" x="22"/>
        <item t="default"/>
      </items>
    </pivotField>
    <pivotField showAll="0"/>
  </pivotFields>
  <rowFields count="1">
    <field x="9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4"/>
    </i>
    <i>
      <x v="15"/>
    </i>
    <i>
      <x v="16"/>
    </i>
    <i>
      <x v="17"/>
    </i>
    <i>
      <x v="19"/>
    </i>
    <i>
      <x v="20"/>
    </i>
    <i>
      <x v="21"/>
    </i>
    <i>
      <x v="22"/>
    </i>
    <i>
      <x v="2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Net" fld="4" baseField="0" baseItem="0"/>
    <dataField name="Sum of VAT" fld="5" baseField="0" baseItem="0"/>
    <dataField name="Sum of Gross" fld="6" baseField="0" baseItem="0"/>
  </dataFields>
  <formats count="8">
    <format dxfId="35">
      <pivotArea outline="0" collapsedLevelsAreSubtotals="1" fieldPosition="0"/>
    </format>
    <format dxfId="34">
      <pivotArea collapsedLevelsAreSubtotals="1" fieldPosition="0">
        <references count="2">
          <reference field="4294967294" count="1" selected="0">
            <x v="2"/>
          </reference>
          <reference field="9" count="0"/>
        </references>
      </pivotArea>
    </format>
    <format dxfId="31">
      <pivotArea collapsedLevelsAreSubtotals="1" fieldPosition="0">
        <references count="2">
          <reference field="4294967294" count="1" selected="0">
            <x v="2"/>
          </reference>
          <reference field="9" count="1">
            <x v="2"/>
          </reference>
        </references>
      </pivotArea>
    </format>
    <format dxfId="30">
      <pivotArea collapsedLevelsAreSubtotals="1" fieldPosition="0">
        <references count="2">
          <reference field="4294967294" count="1" selected="0">
            <x v="2"/>
          </reference>
          <reference field="9" count="1">
            <x v="13"/>
          </reference>
        </references>
      </pivotArea>
    </format>
    <format dxfId="29">
      <pivotArea collapsedLevelsAreSubtotals="1" fieldPosition="0">
        <references count="2">
          <reference field="4294967294" count="1" selected="0">
            <x v="2"/>
          </reference>
          <reference field="9" count="1">
            <x v="10"/>
          </reference>
        </references>
      </pivotArea>
    </format>
    <format dxfId="28">
      <pivotArea collapsedLevelsAreSubtotals="1" fieldPosition="0">
        <references count="2">
          <reference field="4294967294" count="1" selected="0">
            <x v="0"/>
          </reference>
          <reference field="9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</reference>
        </references>
      </pivotArea>
    </format>
    <format dxfId="24">
      <pivotArea collapsedLevelsAreSubtotals="1" fieldPosition="0">
        <references count="2">
          <reference field="4294967294" count="1" selected="0">
            <x v="2"/>
          </reference>
          <reference field="9" count="1">
            <x v="15"/>
          </reference>
        </references>
      </pivotArea>
    </format>
    <format dxfId="23">
      <pivotArea collapsedLevelsAreSubtotals="1" fieldPosition="0">
        <references count="2">
          <reference field="4294967294" count="1" selected="0">
            <x v="0"/>
          </reference>
          <reference field="9" count="1"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282D-196A-41C9-B1B8-379A3F14F116}">
  <dimension ref="A6:I34"/>
  <sheetViews>
    <sheetView topLeftCell="A22" workbookViewId="0">
      <selection activeCell="D11" sqref="D11"/>
    </sheetView>
  </sheetViews>
  <sheetFormatPr defaultRowHeight="14.5" x14ac:dyDescent="0.35"/>
  <cols>
    <col min="2" max="2" width="22.36328125" bestFit="1" customWidth="1"/>
    <col min="3" max="3" width="10.1796875" bestFit="1" customWidth="1"/>
    <col min="4" max="4" width="10.453125" bestFit="1" customWidth="1"/>
    <col min="5" max="5" width="11.81640625" bestFit="1" customWidth="1"/>
    <col min="6" max="6" width="22.90625" bestFit="1" customWidth="1"/>
    <col min="7" max="7" width="10.08984375" style="4" bestFit="1" customWidth="1"/>
  </cols>
  <sheetData>
    <row r="6" spans="2:9" x14ac:dyDescent="0.35">
      <c r="B6" s="104" t="s">
        <v>362</v>
      </c>
    </row>
    <row r="7" spans="2:9" x14ac:dyDescent="0.35">
      <c r="B7" s="48" t="s">
        <v>196</v>
      </c>
      <c r="C7" t="s">
        <v>199</v>
      </c>
      <c r="D7" t="s">
        <v>200</v>
      </c>
      <c r="E7" t="s">
        <v>201</v>
      </c>
    </row>
    <row r="8" spans="2:9" x14ac:dyDescent="0.35">
      <c r="B8" s="49" t="s">
        <v>136</v>
      </c>
      <c r="C8" s="135">
        <v>593.75</v>
      </c>
      <c r="D8" s="5">
        <v>118.75</v>
      </c>
      <c r="E8" s="135">
        <v>712.5</v>
      </c>
      <c r="F8" t="s">
        <v>136</v>
      </c>
      <c r="G8" s="4">
        <v>593.75</v>
      </c>
    </row>
    <row r="9" spans="2:9" x14ac:dyDescent="0.35">
      <c r="B9" s="49" t="s">
        <v>175</v>
      </c>
      <c r="C9" s="135">
        <v>3894.5</v>
      </c>
      <c r="D9" s="5">
        <v>778.90000000000009</v>
      </c>
      <c r="E9" s="135">
        <v>4673.4000000000005</v>
      </c>
      <c r="H9" t="s">
        <v>175</v>
      </c>
      <c r="I9">
        <v>3894.5</v>
      </c>
    </row>
    <row r="10" spans="2:9" x14ac:dyDescent="0.35">
      <c r="B10" s="49" t="s">
        <v>154</v>
      </c>
      <c r="C10" s="135">
        <v>12484.309999999998</v>
      </c>
      <c r="D10" s="5">
        <v>0</v>
      </c>
      <c r="E10" s="136">
        <v>12484.309999999998</v>
      </c>
      <c r="F10" t="s">
        <v>154</v>
      </c>
      <c r="G10" s="4">
        <v>12484.309999999998</v>
      </c>
    </row>
    <row r="11" spans="2:9" x14ac:dyDescent="0.35">
      <c r="B11" s="49" t="s">
        <v>182</v>
      </c>
      <c r="C11" s="135">
        <v>473.99</v>
      </c>
      <c r="D11" s="5">
        <v>47.8</v>
      </c>
      <c r="E11" s="135">
        <v>521.79</v>
      </c>
      <c r="H11" t="s">
        <v>182</v>
      </c>
      <c r="I11">
        <v>521.79</v>
      </c>
    </row>
    <row r="12" spans="2:9" x14ac:dyDescent="0.35">
      <c r="B12" s="49" t="s">
        <v>114</v>
      </c>
      <c r="C12" s="135">
        <v>250</v>
      </c>
      <c r="D12" s="5">
        <v>0</v>
      </c>
      <c r="E12" s="135">
        <v>250</v>
      </c>
      <c r="F12" t="s">
        <v>114</v>
      </c>
      <c r="G12" s="4">
        <v>250</v>
      </c>
    </row>
    <row r="13" spans="2:9" x14ac:dyDescent="0.35">
      <c r="B13" s="49" t="s">
        <v>132</v>
      </c>
      <c r="C13" s="135">
        <v>2677</v>
      </c>
      <c r="D13" s="5">
        <v>21.6</v>
      </c>
      <c r="E13" s="135">
        <v>2698.6</v>
      </c>
      <c r="F13" t="s">
        <v>132</v>
      </c>
      <c r="G13" s="4">
        <v>2677</v>
      </c>
    </row>
    <row r="14" spans="2:9" x14ac:dyDescent="0.35">
      <c r="B14" s="49" t="s">
        <v>120</v>
      </c>
      <c r="C14" s="135">
        <v>18000</v>
      </c>
      <c r="D14" s="5">
        <v>0</v>
      </c>
      <c r="E14" s="135">
        <v>18000</v>
      </c>
      <c r="F14" t="s">
        <v>120</v>
      </c>
      <c r="G14" s="4">
        <v>18000</v>
      </c>
    </row>
    <row r="15" spans="2:9" x14ac:dyDescent="0.35">
      <c r="B15" s="49" t="s">
        <v>112</v>
      </c>
      <c r="C15" s="135">
        <v>196</v>
      </c>
      <c r="D15" s="5">
        <v>0</v>
      </c>
      <c r="E15" s="135">
        <v>196</v>
      </c>
      <c r="F15" t="s">
        <v>112</v>
      </c>
      <c r="G15" s="4">
        <v>196</v>
      </c>
    </row>
    <row r="16" spans="2:9" x14ac:dyDescent="0.35">
      <c r="B16" s="49" t="s">
        <v>96</v>
      </c>
      <c r="C16" s="135">
        <v>772.83</v>
      </c>
      <c r="D16" s="5">
        <v>0</v>
      </c>
      <c r="E16" s="135">
        <v>772.83</v>
      </c>
      <c r="F16" t="s">
        <v>96</v>
      </c>
      <c r="G16" s="4">
        <v>772.83</v>
      </c>
    </row>
    <row r="17" spans="1:9" x14ac:dyDescent="0.35">
      <c r="B17" s="49" t="s">
        <v>129</v>
      </c>
      <c r="C17" s="135">
        <v>312.15999999999997</v>
      </c>
      <c r="D17" s="5">
        <v>41.43</v>
      </c>
      <c r="E17" s="135">
        <v>353.59000000000003</v>
      </c>
      <c r="F17" t="s">
        <v>129</v>
      </c>
      <c r="G17" s="4">
        <v>312.15999999999997</v>
      </c>
    </row>
    <row r="18" spans="1:9" x14ac:dyDescent="0.35">
      <c r="B18" s="49" t="s">
        <v>185</v>
      </c>
      <c r="C18" s="135">
        <v>1120.06</v>
      </c>
      <c r="D18" s="5">
        <v>212.8</v>
      </c>
      <c r="E18" s="137">
        <v>1332.8600000000001</v>
      </c>
      <c r="H18" t="s">
        <v>185</v>
      </c>
      <c r="I18">
        <v>1120.06</v>
      </c>
    </row>
    <row r="19" spans="1:9" x14ac:dyDescent="0.35">
      <c r="B19" s="49" t="s">
        <v>127</v>
      </c>
      <c r="C19" s="135">
        <v>260</v>
      </c>
      <c r="D19" s="5">
        <v>52</v>
      </c>
      <c r="E19" s="135">
        <v>312</v>
      </c>
      <c r="F19" t="s">
        <v>127</v>
      </c>
      <c r="G19" s="4">
        <v>260</v>
      </c>
    </row>
    <row r="20" spans="1:9" x14ac:dyDescent="0.35">
      <c r="B20" s="49" t="s">
        <v>128</v>
      </c>
      <c r="C20" s="135">
        <v>309.05</v>
      </c>
      <c r="D20" s="5">
        <v>0</v>
      </c>
      <c r="E20" s="136">
        <v>309.05</v>
      </c>
      <c r="F20" t="s">
        <v>128</v>
      </c>
      <c r="G20" s="4">
        <v>309.05</v>
      </c>
      <c r="H20" t="s">
        <v>8</v>
      </c>
      <c r="I20">
        <v>730.27</v>
      </c>
    </row>
    <row r="21" spans="1:9" x14ac:dyDescent="0.35">
      <c r="B21" s="49" t="s">
        <v>104</v>
      </c>
      <c r="C21" s="5"/>
      <c r="D21" s="5"/>
      <c r="E21" s="135">
        <v>0</v>
      </c>
    </row>
    <row r="22" spans="1:9" x14ac:dyDescent="0.35">
      <c r="B22" s="49" t="s">
        <v>134</v>
      </c>
      <c r="C22" s="135">
        <v>4112.5600000000004</v>
      </c>
      <c r="D22" s="5">
        <v>0</v>
      </c>
      <c r="E22" s="138">
        <v>4112.5600000000004</v>
      </c>
      <c r="F22" t="s">
        <v>134</v>
      </c>
      <c r="G22" s="4">
        <v>4112.5600000000004</v>
      </c>
    </row>
    <row r="23" spans="1:9" x14ac:dyDescent="0.35">
      <c r="B23" s="49" t="s">
        <v>116</v>
      </c>
      <c r="C23" s="5">
        <v>3250</v>
      </c>
      <c r="D23" s="5">
        <v>0</v>
      </c>
      <c r="E23" s="135">
        <v>3250</v>
      </c>
      <c r="F23" t="s">
        <v>116</v>
      </c>
      <c r="G23" s="4">
        <v>3250</v>
      </c>
    </row>
    <row r="24" spans="1:9" x14ac:dyDescent="0.35">
      <c r="B24" s="49" t="s">
        <v>103</v>
      </c>
      <c r="C24" s="5"/>
      <c r="D24" s="5"/>
      <c r="E24" s="135">
        <v>0</v>
      </c>
    </row>
    <row r="25" spans="1:9" x14ac:dyDescent="0.35">
      <c r="B25" s="49" t="s">
        <v>113</v>
      </c>
      <c r="C25" s="5">
        <v>361.25</v>
      </c>
      <c r="D25" s="5">
        <v>0</v>
      </c>
      <c r="E25" s="135">
        <v>361.25</v>
      </c>
      <c r="F25" t="s">
        <v>113</v>
      </c>
      <c r="G25" s="4">
        <v>361.25</v>
      </c>
    </row>
    <row r="26" spans="1:9" x14ac:dyDescent="0.35">
      <c r="B26" s="49" t="s">
        <v>130</v>
      </c>
      <c r="C26" s="5">
        <v>215</v>
      </c>
      <c r="D26" s="5">
        <v>8</v>
      </c>
      <c r="E26" s="135">
        <v>223</v>
      </c>
      <c r="F26" t="s">
        <v>130</v>
      </c>
      <c r="G26" s="4">
        <v>215</v>
      </c>
    </row>
    <row r="27" spans="1:9" x14ac:dyDescent="0.35">
      <c r="B27" s="49" t="s">
        <v>133</v>
      </c>
      <c r="C27" s="5">
        <v>94.4</v>
      </c>
      <c r="D27" s="5">
        <v>0</v>
      </c>
      <c r="E27" s="135">
        <v>94.4</v>
      </c>
      <c r="F27" t="s">
        <v>133</v>
      </c>
      <c r="G27" s="4">
        <v>94.4</v>
      </c>
    </row>
    <row r="28" spans="1:9" x14ac:dyDescent="0.35">
      <c r="B28" s="49" t="s">
        <v>197</v>
      </c>
      <c r="C28" s="5"/>
      <c r="D28" s="5"/>
      <c r="E28" s="135"/>
    </row>
    <row r="29" spans="1:9" x14ac:dyDescent="0.35">
      <c r="B29" s="49" t="s">
        <v>97</v>
      </c>
      <c r="C29" s="5">
        <v>44.66</v>
      </c>
      <c r="D29" s="5">
        <v>8.73</v>
      </c>
      <c r="E29" s="135">
        <v>53.39</v>
      </c>
      <c r="F29" t="s">
        <v>97</v>
      </c>
      <c r="G29" s="4">
        <v>44.66</v>
      </c>
    </row>
    <row r="30" spans="1:9" x14ac:dyDescent="0.35">
      <c r="B30" s="49" t="s">
        <v>198</v>
      </c>
      <c r="C30" s="5">
        <v>49421.520000000011</v>
      </c>
      <c r="D30" s="5">
        <v>1290.01</v>
      </c>
      <c r="E30" s="5">
        <v>50711.53</v>
      </c>
    </row>
    <row r="32" spans="1:9" x14ac:dyDescent="0.35">
      <c r="A32" t="s">
        <v>364</v>
      </c>
      <c r="B32" s="49" t="s">
        <v>92</v>
      </c>
      <c r="C32" s="5">
        <v>34200</v>
      </c>
    </row>
    <row r="33" spans="2:3" x14ac:dyDescent="0.35">
      <c r="B33" s="49" t="s">
        <v>363</v>
      </c>
      <c r="C33" s="5">
        <v>16000</v>
      </c>
    </row>
    <row r="34" spans="2:3" x14ac:dyDescent="0.35">
      <c r="C34" s="105">
        <f>SUM(C32:C33)</f>
        <v>50200</v>
      </c>
    </row>
  </sheetData>
  <sortState xmlns:xlrd2="http://schemas.microsoft.com/office/spreadsheetml/2017/richdata2" ref="F8:G28">
    <sortCondition ref="F8:F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71CF-7A22-4C4C-A14B-60F6ADDEF35E}">
  <dimension ref="A2:B37"/>
  <sheetViews>
    <sheetView workbookViewId="0">
      <selection activeCell="A12" sqref="A12"/>
    </sheetView>
  </sheetViews>
  <sheetFormatPr defaultRowHeight="14.5" customHeight="1" x14ac:dyDescent="0.35"/>
  <cols>
    <col min="1" max="1" width="33.54296875" customWidth="1"/>
  </cols>
  <sheetData>
    <row r="2" spans="1:2" ht="14.5" customHeight="1" x14ac:dyDescent="0.35">
      <c r="A2" s="1" t="s">
        <v>12</v>
      </c>
    </row>
    <row r="3" spans="1:2" ht="14.5" customHeight="1" x14ac:dyDescent="0.35">
      <c r="A3" t="s">
        <v>95</v>
      </c>
      <c r="B3" t="s">
        <v>101</v>
      </c>
    </row>
    <row r="4" spans="1:2" ht="14.5" customHeight="1" x14ac:dyDescent="0.35">
      <c r="A4" t="s">
        <v>171</v>
      </c>
      <c r="B4" t="s">
        <v>173</v>
      </c>
    </row>
    <row r="5" spans="1:2" ht="14.5" customHeight="1" x14ac:dyDescent="0.35">
      <c r="A5" t="s">
        <v>99</v>
      </c>
      <c r="B5" t="s">
        <v>172</v>
      </c>
    </row>
    <row r="6" spans="1:2" ht="14.5" customHeight="1" x14ac:dyDescent="0.35">
      <c r="A6" t="s">
        <v>100</v>
      </c>
      <c r="B6" t="s">
        <v>102</v>
      </c>
    </row>
    <row r="9" spans="1:2" ht="14.5" customHeight="1" x14ac:dyDescent="0.35">
      <c r="A9" s="1" t="s">
        <v>11</v>
      </c>
    </row>
    <row r="10" spans="1:2" ht="14.5" customHeight="1" x14ac:dyDescent="0.35">
      <c r="A10" t="s">
        <v>97</v>
      </c>
    </row>
    <row r="11" spans="1:2" ht="14.5" customHeight="1" x14ac:dyDescent="0.35">
      <c r="A11" t="s">
        <v>136</v>
      </c>
    </row>
    <row r="12" spans="1:2" ht="14.5" customHeight="1" x14ac:dyDescent="0.35">
      <c r="A12" t="s">
        <v>175</v>
      </c>
    </row>
    <row r="13" spans="1:2" ht="14.5" customHeight="1" x14ac:dyDescent="0.35">
      <c r="A13" s="6" t="s">
        <v>154</v>
      </c>
    </row>
    <row r="14" spans="1:2" ht="14.5" customHeight="1" x14ac:dyDescent="0.35">
      <c r="A14" t="s">
        <v>121</v>
      </c>
    </row>
    <row r="15" spans="1:2" ht="14.5" customHeight="1" x14ac:dyDescent="0.35">
      <c r="A15" t="s">
        <v>182</v>
      </c>
    </row>
    <row r="16" spans="1:2" ht="14.5" customHeight="1" x14ac:dyDescent="0.35">
      <c r="A16" t="s">
        <v>114</v>
      </c>
    </row>
    <row r="17" spans="1:1" ht="14.5" customHeight="1" x14ac:dyDescent="0.35">
      <c r="A17" t="s">
        <v>132</v>
      </c>
    </row>
    <row r="18" spans="1:1" ht="14.5" customHeight="1" x14ac:dyDescent="0.35">
      <c r="A18" t="s">
        <v>120</v>
      </c>
    </row>
    <row r="19" spans="1:1" ht="14.5" customHeight="1" x14ac:dyDescent="0.35">
      <c r="A19" t="s">
        <v>112</v>
      </c>
    </row>
    <row r="20" spans="1:1" ht="14.5" customHeight="1" x14ac:dyDescent="0.35">
      <c r="A20" t="s">
        <v>144</v>
      </c>
    </row>
    <row r="21" spans="1:1" ht="14.5" customHeight="1" x14ac:dyDescent="0.35">
      <c r="A21" t="s">
        <v>96</v>
      </c>
    </row>
    <row r="22" spans="1:1" ht="14.5" customHeight="1" x14ac:dyDescent="0.35">
      <c r="A22" t="s">
        <v>129</v>
      </c>
    </row>
    <row r="23" spans="1:1" ht="14.5" customHeight="1" x14ac:dyDescent="0.35">
      <c r="A23" t="s">
        <v>187</v>
      </c>
    </row>
    <row r="24" spans="1:1" ht="14.5" customHeight="1" x14ac:dyDescent="0.35">
      <c r="A24" t="s">
        <v>185</v>
      </c>
    </row>
    <row r="25" spans="1:1" ht="14.5" customHeight="1" x14ac:dyDescent="0.35">
      <c r="A25" t="s">
        <v>127</v>
      </c>
    </row>
    <row r="26" spans="1:1" ht="14.5" customHeight="1" x14ac:dyDescent="0.35">
      <c r="A26" t="s">
        <v>128</v>
      </c>
    </row>
    <row r="27" spans="1:1" ht="14.5" customHeight="1" x14ac:dyDescent="0.35">
      <c r="A27" t="s">
        <v>104</v>
      </c>
    </row>
    <row r="28" spans="1:1" ht="14.5" customHeight="1" x14ac:dyDescent="0.35">
      <c r="A28" t="s">
        <v>134</v>
      </c>
    </row>
    <row r="29" spans="1:1" ht="14.5" customHeight="1" x14ac:dyDescent="0.35">
      <c r="A29" t="s">
        <v>116</v>
      </c>
    </row>
    <row r="30" spans="1:1" ht="14.5" customHeight="1" x14ac:dyDescent="0.35">
      <c r="A30" t="s">
        <v>117</v>
      </c>
    </row>
    <row r="31" spans="1:1" ht="14.5" customHeight="1" x14ac:dyDescent="0.35">
      <c r="A31" t="s">
        <v>124</v>
      </c>
    </row>
    <row r="32" spans="1:1" ht="14.5" customHeight="1" x14ac:dyDescent="0.35">
      <c r="A32" t="s">
        <v>135</v>
      </c>
    </row>
    <row r="33" spans="1:1" ht="14.5" customHeight="1" x14ac:dyDescent="0.35">
      <c r="A33" t="s">
        <v>113</v>
      </c>
    </row>
    <row r="34" spans="1:1" ht="14.5" customHeight="1" x14ac:dyDescent="0.35">
      <c r="A34" t="s">
        <v>130</v>
      </c>
    </row>
    <row r="35" spans="1:1" ht="14.5" customHeight="1" x14ac:dyDescent="0.35">
      <c r="A35" t="s">
        <v>131</v>
      </c>
    </row>
    <row r="36" spans="1:1" ht="14.5" customHeight="1" x14ac:dyDescent="0.35">
      <c r="A36" t="s">
        <v>133</v>
      </c>
    </row>
    <row r="37" spans="1:1" ht="14.5" customHeight="1" x14ac:dyDescent="0.35">
      <c r="A37" s="6"/>
    </row>
  </sheetData>
  <sortState xmlns:xlrd2="http://schemas.microsoft.com/office/spreadsheetml/2017/richdata2" ref="A10:A36">
    <sortCondition ref="A10:A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E23E-3058-4F55-B518-D7FA4D2B550B}">
  <dimension ref="A1:L51"/>
  <sheetViews>
    <sheetView topLeftCell="A27" workbookViewId="0">
      <selection activeCell="C31" sqref="C31"/>
    </sheetView>
  </sheetViews>
  <sheetFormatPr defaultRowHeight="14.5" x14ac:dyDescent="0.35"/>
  <cols>
    <col min="1" max="1" width="25.1796875" customWidth="1"/>
    <col min="2" max="2" width="46.453125" customWidth="1"/>
    <col min="3" max="3" width="13.54296875" customWidth="1"/>
    <col min="4" max="10" width="14.54296875" customWidth="1"/>
  </cols>
  <sheetData>
    <row r="1" spans="1:12" x14ac:dyDescent="0.35">
      <c r="A1" t="s">
        <v>0</v>
      </c>
    </row>
    <row r="2" spans="1:12" x14ac:dyDescent="0.35">
      <c r="A2" t="s">
        <v>105</v>
      </c>
    </row>
    <row r="3" spans="1:12" x14ac:dyDescent="0.35">
      <c r="A3" t="s">
        <v>2</v>
      </c>
      <c r="B3" s="10">
        <f>+Cashbook!B3</f>
        <v>46117</v>
      </c>
    </row>
    <row r="4" spans="1:12" x14ac:dyDescent="0.35">
      <c r="A4" t="s">
        <v>153</v>
      </c>
      <c r="B4" s="47">
        <f>DATEDIF(D6, E6, "m")+1</f>
        <v>12</v>
      </c>
    </row>
    <row r="5" spans="1:12" x14ac:dyDescent="0.35">
      <c r="D5" t="s">
        <v>194</v>
      </c>
    </row>
    <row r="6" spans="1:12" s="11" customFormat="1" x14ac:dyDescent="0.35">
      <c r="D6" s="50">
        <v>45752</v>
      </c>
      <c r="E6" s="50">
        <v>46113</v>
      </c>
      <c r="L6"/>
    </row>
    <row r="7" spans="1:12" s="11" customFormat="1" ht="15" thickBot="1" x14ac:dyDescent="0.4">
      <c r="D7" s="11" t="s">
        <v>192</v>
      </c>
      <c r="H7" s="11" t="s">
        <v>193</v>
      </c>
      <c r="L7"/>
    </row>
    <row r="8" spans="1:12" x14ac:dyDescent="0.35">
      <c r="A8" s="9" t="s">
        <v>137</v>
      </c>
      <c r="B8" s="9" t="s">
        <v>138</v>
      </c>
      <c r="C8" s="9" t="s">
        <v>92</v>
      </c>
      <c r="D8" s="16" t="s">
        <v>140</v>
      </c>
      <c r="E8" s="17" t="s">
        <v>141</v>
      </c>
      <c r="F8" s="17" t="s">
        <v>142</v>
      </c>
      <c r="G8" s="18" t="s">
        <v>142</v>
      </c>
      <c r="H8" s="31" t="s">
        <v>100</v>
      </c>
      <c r="I8" s="32" t="s">
        <v>142</v>
      </c>
      <c r="J8" s="33" t="s">
        <v>142</v>
      </c>
    </row>
    <row r="9" spans="1:12" s="9" customFormat="1" x14ac:dyDescent="0.35">
      <c r="C9" s="9" t="s">
        <v>139</v>
      </c>
      <c r="D9" s="19"/>
      <c r="E9" s="20"/>
      <c r="F9" s="20" t="s">
        <v>139</v>
      </c>
      <c r="G9" s="21" t="s">
        <v>143</v>
      </c>
      <c r="H9" s="34"/>
      <c r="I9" s="35" t="s">
        <v>139</v>
      </c>
      <c r="J9" s="36" t="s">
        <v>143</v>
      </c>
    </row>
    <row r="10" spans="1:12" x14ac:dyDescent="0.35">
      <c r="A10" s="6" t="s">
        <v>154</v>
      </c>
      <c r="B10" t="s">
        <v>106</v>
      </c>
      <c r="C10" s="15">
        <v>9850</v>
      </c>
      <c r="D10" s="22">
        <f t="shared" ref="D10:D30" si="0">+C10*(DATEDIF($D$6, $E$6, "m")+1)/12</f>
        <v>9850</v>
      </c>
      <c r="E10" s="23">
        <f>SUMIFS(Cashbook!$E$6:$E$225,Cashbook!$A$6:$A$225,"&gt;="&amp;'Precept - forecast'!$D$6,Cashbook!$A$6:$A$225,"&lt;="&amp;'Precept - forecast'!$E$6,Cashbook!$J$6:$J$225,'Precept - forecast'!$A10)</f>
        <v>12484.309999999998</v>
      </c>
      <c r="F10" s="23">
        <f>D10-E10</f>
        <v>-2634.3099999999977</v>
      </c>
      <c r="G10" s="24">
        <f t="shared" ref="G10:G17" si="1">IF(E10=0,"",+F10/D10)</f>
        <v>-0.2674426395939084</v>
      </c>
      <c r="H10" s="37">
        <f>IF(K10="Monthly",+E10+C10*($B$4-'Precept - budget YTD'!$B$4)/12,'Precept - forecast'!E10)</f>
        <v>12484.309999999998</v>
      </c>
      <c r="I10" s="38">
        <f>C10-H10</f>
        <v>-2634.3099999999977</v>
      </c>
      <c r="J10" s="39">
        <f>IF(H10=0,"",+I10/C10)</f>
        <v>-0.2674426395939084</v>
      </c>
      <c r="K10" t="s">
        <v>188</v>
      </c>
    </row>
    <row r="11" spans="1:12" x14ac:dyDescent="0.35">
      <c r="A11" t="s">
        <v>97</v>
      </c>
      <c r="B11" t="s">
        <v>107</v>
      </c>
      <c r="C11" s="15">
        <v>150</v>
      </c>
      <c r="D11" s="22">
        <f t="shared" si="0"/>
        <v>150</v>
      </c>
      <c r="E11" s="23">
        <f>SUMIFS(Cashbook!$E$6:$E$225,Cashbook!$A$6:$A$225,"&gt;="&amp;'Precept - forecast'!$D$6,Cashbook!$A$6:$A$225,"&lt;="&amp;'Precept - forecast'!$E$6,Cashbook!$J$6:$J$225,'Precept - forecast'!$A11)</f>
        <v>44.66</v>
      </c>
      <c r="F11" s="23">
        <f t="shared" ref="F11:F30" si="2">D11-E11</f>
        <v>105.34</v>
      </c>
      <c r="G11" s="24">
        <f t="shared" si="1"/>
        <v>0.70226666666666671</v>
      </c>
      <c r="H11" s="37">
        <f>IF(K11="Monthly",+E11+C11*($B$4-'Precept - budget YTD'!$B$4)/12,'Precept - forecast'!E11)</f>
        <v>44.66</v>
      </c>
      <c r="I11" s="38">
        <f t="shared" ref="I11:I30" si="3">C11-H11</f>
        <v>105.34</v>
      </c>
      <c r="J11" s="39">
        <f t="shared" ref="J11:J30" si="4">IF(H11=0,"",+I11/C11)</f>
        <v>0.70226666666666671</v>
      </c>
      <c r="K11" t="s">
        <v>188</v>
      </c>
    </row>
    <row r="12" spans="1:12" x14ac:dyDescent="0.35">
      <c r="A12" t="s">
        <v>127</v>
      </c>
      <c r="B12" t="s">
        <v>108</v>
      </c>
      <c r="C12" s="15">
        <v>500</v>
      </c>
      <c r="D12" s="22">
        <f t="shared" si="0"/>
        <v>500</v>
      </c>
      <c r="E12" s="23">
        <f>SUMIFS(Cashbook!$E$6:$E$225,Cashbook!$A$6:$A$225,"&gt;="&amp;'Precept - forecast'!$D$6,Cashbook!$A$6:$A$225,"&lt;="&amp;'Precept - forecast'!$E$6,Cashbook!$J$6:$J$225,'Precept - forecast'!$A12)</f>
        <v>260</v>
      </c>
      <c r="F12" s="23">
        <f t="shared" si="2"/>
        <v>240</v>
      </c>
      <c r="G12" s="24">
        <f t="shared" si="1"/>
        <v>0.48</v>
      </c>
      <c r="H12" s="37">
        <f>IF(K12="Monthly",+E12+C12*($B$4-'Precept - budget YTD'!$B$4)/12,'Precept - forecast'!E12)</f>
        <v>260</v>
      </c>
      <c r="I12" s="38">
        <f t="shared" si="3"/>
        <v>240</v>
      </c>
      <c r="J12" s="39">
        <f t="shared" si="4"/>
        <v>0.48</v>
      </c>
      <c r="K12" t="s">
        <v>188</v>
      </c>
    </row>
    <row r="13" spans="1:12" x14ac:dyDescent="0.35">
      <c r="A13" t="s">
        <v>128</v>
      </c>
      <c r="B13" t="s">
        <v>109</v>
      </c>
      <c r="C13" s="15">
        <v>300</v>
      </c>
      <c r="D13" s="22">
        <f t="shared" si="0"/>
        <v>300</v>
      </c>
      <c r="E13" s="23">
        <f>SUMIFS(Cashbook!$E$6:$E$225,Cashbook!$A$6:$A$225,"&gt;="&amp;'Precept - forecast'!$D$6,Cashbook!$A$6:$A$225,"&lt;="&amp;'Precept - forecast'!$E$6,Cashbook!$J$6:$J$225,'Precept - forecast'!$A13)</f>
        <v>309.05</v>
      </c>
      <c r="F13" s="23">
        <f t="shared" si="2"/>
        <v>-9.0500000000000114</v>
      </c>
      <c r="G13" s="24">
        <f t="shared" si="1"/>
        <v>-3.0166666666666706E-2</v>
      </c>
      <c r="H13" s="37">
        <f>IF(K13="Monthly",+E13+C13*($B$4-'Precept - budget YTD'!$B$4)/12,'Precept - forecast'!E13)</f>
        <v>309.05</v>
      </c>
      <c r="I13" s="38">
        <f t="shared" si="3"/>
        <v>-9.0500000000000114</v>
      </c>
      <c r="J13" s="39">
        <f t="shared" si="4"/>
        <v>-3.0166666666666706E-2</v>
      </c>
      <c r="K13" t="s">
        <v>188</v>
      </c>
    </row>
    <row r="14" spans="1:12" x14ac:dyDescent="0.35">
      <c r="A14" t="s">
        <v>136</v>
      </c>
      <c r="B14" t="s">
        <v>110</v>
      </c>
      <c r="C14" s="4">
        <v>600</v>
      </c>
      <c r="D14" s="22">
        <f t="shared" si="0"/>
        <v>600</v>
      </c>
      <c r="E14" s="23">
        <f>SUMIFS(Cashbook!$E$6:$E$225,Cashbook!$A$6:$A$225,"&gt;="&amp;'Precept - forecast'!$D$6,Cashbook!$A$6:$A$225,"&lt;="&amp;'Precept - forecast'!$E$6,Cashbook!$J$6:$J$225,'Precept - forecast'!$A14)</f>
        <v>593.75</v>
      </c>
      <c r="F14" s="23">
        <f t="shared" si="2"/>
        <v>6.25</v>
      </c>
      <c r="G14" s="24">
        <f t="shared" si="1"/>
        <v>1.0416666666666666E-2</v>
      </c>
      <c r="H14" s="37">
        <f>IF(K14="Monthly",+E14+C14*($B$4-'Precept - budget YTD'!$B$4)/12,'Precept - forecast'!E14)</f>
        <v>593.75</v>
      </c>
      <c r="I14" s="38">
        <f t="shared" si="3"/>
        <v>6.25</v>
      </c>
      <c r="J14" s="39">
        <f t="shared" si="4"/>
        <v>1.0416666666666666E-2</v>
      </c>
    </row>
    <row r="15" spans="1:12" x14ac:dyDescent="0.35">
      <c r="A15" t="s">
        <v>129</v>
      </c>
      <c r="B15" t="s">
        <v>111</v>
      </c>
      <c r="C15" s="4">
        <v>350</v>
      </c>
      <c r="D15" s="22">
        <f t="shared" si="0"/>
        <v>350</v>
      </c>
      <c r="E15" s="23">
        <f>SUMIFS(Cashbook!$E$6:$E$225,Cashbook!$A$6:$A$225,"&gt;="&amp;'Precept - forecast'!$D$6,Cashbook!$A$6:$A$225,"&lt;="&amp;'Precept - forecast'!$E$6,Cashbook!$J$6:$J$225,'Precept - forecast'!$A15)</f>
        <v>312.15999999999997</v>
      </c>
      <c r="F15" s="23">
        <f t="shared" si="2"/>
        <v>37.840000000000032</v>
      </c>
      <c r="G15" s="24">
        <f t="shared" si="1"/>
        <v>0.1081142857142858</v>
      </c>
      <c r="H15" s="37">
        <f>IF(K15="Monthly",+E15+C15*($B$4-'Precept - budget YTD'!$B$4)/12,'Precept - forecast'!E15)</f>
        <v>312.15999999999997</v>
      </c>
      <c r="I15" s="38">
        <f t="shared" si="3"/>
        <v>37.840000000000032</v>
      </c>
      <c r="J15" s="39">
        <f t="shared" si="4"/>
        <v>0.1081142857142858</v>
      </c>
      <c r="K15" t="s">
        <v>188</v>
      </c>
    </row>
    <row r="16" spans="1:12" x14ac:dyDescent="0.35">
      <c r="A16" t="s">
        <v>112</v>
      </c>
      <c r="B16" t="s">
        <v>112</v>
      </c>
      <c r="C16" s="4">
        <v>250</v>
      </c>
      <c r="D16" s="22">
        <f t="shared" si="0"/>
        <v>250</v>
      </c>
      <c r="E16" s="23">
        <f>SUMIFS(Cashbook!$E$6:$E$225,Cashbook!$A$6:$A$225,"&gt;="&amp;'Precept - forecast'!$D$6,Cashbook!$A$6:$A$225,"&lt;="&amp;'Precept - forecast'!$E$6,Cashbook!$J$6:$J$225,'Precept - forecast'!$A16)</f>
        <v>196</v>
      </c>
      <c r="F16" s="23">
        <f t="shared" si="2"/>
        <v>54</v>
      </c>
      <c r="G16" s="24">
        <f t="shared" si="1"/>
        <v>0.216</v>
      </c>
      <c r="H16" s="37">
        <f>IF(K16="Monthly",+E16+C16*($B$4-'Precept - budget YTD'!$B$4)/12,'Precept - forecast'!E16)</f>
        <v>196</v>
      </c>
      <c r="I16" s="38">
        <f t="shared" si="3"/>
        <v>54</v>
      </c>
      <c r="J16" s="39">
        <f t="shared" si="4"/>
        <v>0.216</v>
      </c>
      <c r="K16" t="s">
        <v>188</v>
      </c>
    </row>
    <row r="17" spans="1:11" x14ac:dyDescent="0.35">
      <c r="A17" t="s">
        <v>96</v>
      </c>
      <c r="B17" t="s">
        <v>96</v>
      </c>
      <c r="C17" s="4">
        <v>750</v>
      </c>
      <c r="D17" s="22">
        <f t="shared" si="0"/>
        <v>750</v>
      </c>
      <c r="E17" s="23">
        <f>SUMIFS(Cashbook!$E$6:$E$225,Cashbook!$A$6:$A$225,"&gt;="&amp;'Precept - forecast'!$D$6,Cashbook!$A$6:$A$225,"&lt;="&amp;'Precept - forecast'!$E$6,Cashbook!$J$6:$J$225,'Precept - forecast'!$A17)</f>
        <v>772.83</v>
      </c>
      <c r="F17" s="23">
        <f t="shared" si="2"/>
        <v>-22.830000000000041</v>
      </c>
      <c r="G17" s="24">
        <f t="shared" si="1"/>
        <v>-3.0440000000000054E-2</v>
      </c>
      <c r="H17" s="37">
        <f>IF(K17="Monthly",+E17+C17*($B$4-'Precept - budget YTD'!$B$4)/12,'Precept - forecast'!E17)</f>
        <v>772.83</v>
      </c>
      <c r="I17" s="38">
        <f t="shared" si="3"/>
        <v>-22.830000000000041</v>
      </c>
      <c r="J17" s="39">
        <f t="shared" si="4"/>
        <v>-3.0440000000000054E-2</v>
      </c>
    </row>
    <row r="18" spans="1:11" x14ac:dyDescent="0.35">
      <c r="A18" t="s">
        <v>113</v>
      </c>
      <c r="B18" t="s">
        <v>113</v>
      </c>
      <c r="C18" s="4">
        <v>650</v>
      </c>
      <c r="D18" s="22">
        <f t="shared" si="0"/>
        <v>650</v>
      </c>
      <c r="E18" s="23">
        <f>SUMIFS(Cashbook!$E$6:$E$225,Cashbook!$A$6:$A$225,"&gt;="&amp;'Precept - forecast'!$D$6,Cashbook!$A$6:$A$225,"&lt;="&amp;'Precept - forecast'!$E$6,Cashbook!$J$6:$J$225,'Precept - forecast'!$A18)</f>
        <v>361.25</v>
      </c>
      <c r="F18" s="23">
        <f t="shared" si="2"/>
        <v>288.75</v>
      </c>
      <c r="G18" s="24">
        <f>IF(E18=0,"",+F18/D18)</f>
        <v>0.44423076923076921</v>
      </c>
      <c r="H18" s="37">
        <f>IF(K18="Monthly",+E18+C18*($B$4-'Precept - budget YTD'!$B$4)/12,'Precept - forecast'!E18)</f>
        <v>361.25</v>
      </c>
      <c r="I18" s="38">
        <f t="shared" si="3"/>
        <v>288.75</v>
      </c>
      <c r="J18" s="39">
        <f t="shared" si="4"/>
        <v>0.44423076923076921</v>
      </c>
    </row>
    <row r="19" spans="1:11" x14ac:dyDescent="0.35">
      <c r="A19" t="s">
        <v>114</v>
      </c>
      <c r="B19" t="s">
        <v>114</v>
      </c>
      <c r="C19" s="4">
        <v>250</v>
      </c>
      <c r="D19" s="22">
        <f t="shared" si="0"/>
        <v>250</v>
      </c>
      <c r="E19" s="23">
        <f>SUMIFS(Cashbook!$E$6:$E$225,Cashbook!$A$6:$A$225,"&gt;="&amp;'Precept - forecast'!$D$6,Cashbook!$A$6:$A$225,"&lt;="&amp;'Precept - forecast'!$E$6,Cashbook!$J$6:$J$225,'Precept - forecast'!$A19)</f>
        <v>250</v>
      </c>
      <c r="F19" s="23">
        <f t="shared" si="2"/>
        <v>0</v>
      </c>
      <c r="G19" s="24">
        <f t="shared" ref="G19:G30" si="5">IF(E19=0,"",+F19/D19)</f>
        <v>0</v>
      </c>
      <c r="H19" s="37">
        <f>IF(K19="Monthly",+E19+C19*($B$4-'Precept - budget YTD'!$B$4)/12,'Precept - forecast'!E19)</f>
        <v>250</v>
      </c>
      <c r="I19" s="38">
        <f t="shared" si="3"/>
        <v>0</v>
      </c>
      <c r="J19" s="39">
        <f t="shared" si="4"/>
        <v>0</v>
      </c>
      <c r="K19" t="s">
        <v>189</v>
      </c>
    </row>
    <row r="20" spans="1:11" x14ac:dyDescent="0.35">
      <c r="A20" t="s">
        <v>130</v>
      </c>
      <c r="B20" t="s">
        <v>115</v>
      </c>
      <c r="C20" s="4">
        <v>200</v>
      </c>
      <c r="D20" s="22">
        <f t="shared" si="0"/>
        <v>200</v>
      </c>
      <c r="E20" s="23">
        <f>SUMIFS(Cashbook!$E$6:$E$225,Cashbook!$A$6:$A$225,"&gt;="&amp;'Precept - forecast'!$D$6,Cashbook!$A$6:$A$225,"&lt;="&amp;'Precept - forecast'!$E$6,Cashbook!$J$6:$J$225,'Precept - forecast'!$A20)</f>
        <v>215</v>
      </c>
      <c r="F20" s="23">
        <f t="shared" si="2"/>
        <v>-15</v>
      </c>
      <c r="G20" s="24">
        <f t="shared" si="5"/>
        <v>-7.4999999999999997E-2</v>
      </c>
      <c r="H20" s="37">
        <f>IF(K20="Monthly",+E20+C20*($B$4-'Precept - budget YTD'!$B$4)/12,'Precept - forecast'!E20)</f>
        <v>215</v>
      </c>
      <c r="I20" s="38">
        <f t="shared" si="3"/>
        <v>-15</v>
      </c>
      <c r="J20" s="39">
        <f t="shared" si="4"/>
        <v>-7.4999999999999997E-2</v>
      </c>
      <c r="K20" t="s">
        <v>188</v>
      </c>
    </row>
    <row r="21" spans="1:11" x14ac:dyDescent="0.35">
      <c r="A21" t="s">
        <v>116</v>
      </c>
      <c r="B21" t="s">
        <v>116</v>
      </c>
      <c r="C21" s="4">
        <v>5500</v>
      </c>
      <c r="D21" s="22">
        <f t="shared" si="0"/>
        <v>5500</v>
      </c>
      <c r="E21" s="23">
        <f>SUMIFS(Cashbook!$E$6:$E$225,Cashbook!$A$6:$A$225,"&gt;="&amp;'Precept - forecast'!$D$6,Cashbook!$A$6:$A$225,"&lt;="&amp;'Precept - forecast'!$E$6,Cashbook!$J$6:$J$225,'Precept - forecast'!$A21)</f>
        <v>3250</v>
      </c>
      <c r="F21" s="23">
        <f t="shared" si="2"/>
        <v>2250</v>
      </c>
      <c r="G21" s="24">
        <f t="shared" si="5"/>
        <v>0.40909090909090912</v>
      </c>
      <c r="H21" s="37">
        <f>IF(K21="Monthly",+E21+C21*($B$4-'Precept - budget YTD'!$B$4)/12,'Precept - forecast'!E21)</f>
        <v>3250</v>
      </c>
      <c r="I21" s="38">
        <f t="shared" si="3"/>
        <v>2250</v>
      </c>
      <c r="J21" s="39">
        <f t="shared" si="4"/>
        <v>0.40909090909090912</v>
      </c>
      <c r="K21" t="s">
        <v>188</v>
      </c>
    </row>
    <row r="22" spans="1:11" x14ac:dyDescent="0.35">
      <c r="A22" t="s">
        <v>117</v>
      </c>
      <c r="B22" t="s">
        <v>117</v>
      </c>
      <c r="C22" s="4">
        <v>1000</v>
      </c>
      <c r="D22" s="22">
        <f t="shared" si="0"/>
        <v>1000</v>
      </c>
      <c r="E22" s="23">
        <f>SUMIFS(Cashbook!$E$6:$E$225,Cashbook!$A$6:$A$225,"&gt;="&amp;'Precept - forecast'!$D$6,Cashbook!$A$6:$A$225,"&lt;="&amp;'Precept - forecast'!$E$6,Cashbook!$J$6:$J$225,'Precept - forecast'!$A22)</f>
        <v>0</v>
      </c>
      <c r="F22" s="23">
        <f t="shared" si="2"/>
        <v>1000</v>
      </c>
      <c r="G22" s="24" t="str">
        <f t="shared" si="5"/>
        <v/>
      </c>
      <c r="H22" s="37">
        <f>IF(K22="Monthly",+E22+C22*($B$4-'Precept - budget YTD'!$B$4)/12,'Precept - forecast'!E22)</f>
        <v>0</v>
      </c>
      <c r="I22" s="38">
        <f t="shared" si="3"/>
        <v>1000</v>
      </c>
      <c r="J22" s="39" t="str">
        <f t="shared" si="4"/>
        <v/>
      </c>
    </row>
    <row r="23" spans="1:11" x14ac:dyDescent="0.35">
      <c r="A23" t="s">
        <v>131</v>
      </c>
      <c r="B23" t="s">
        <v>118</v>
      </c>
      <c r="C23" s="4">
        <v>2500</v>
      </c>
      <c r="D23" s="22">
        <f t="shared" si="0"/>
        <v>2500</v>
      </c>
      <c r="E23" s="23">
        <f>SUMIFS(Cashbook!$E$6:$E$225,Cashbook!$A$6:$A$225,"&gt;="&amp;'Precept - forecast'!$D$6,Cashbook!$A$6:$A$225,"&lt;="&amp;'Precept - forecast'!$E$6,Cashbook!$J$6:$J$225,'Precept - forecast'!$A23)</f>
        <v>0</v>
      </c>
      <c r="F23" s="23">
        <f t="shared" si="2"/>
        <v>2500</v>
      </c>
      <c r="G23" s="24" t="str">
        <f t="shared" si="5"/>
        <v/>
      </c>
      <c r="H23" s="37">
        <f>IF(K23="Monthly",+E23+C23*($B$4-'Precept - budget YTD'!$B$4)/12,'Precept - forecast'!E23)</f>
        <v>0</v>
      </c>
      <c r="I23" s="38">
        <f t="shared" si="3"/>
        <v>2500</v>
      </c>
      <c r="J23" s="39" t="str">
        <f t="shared" si="4"/>
        <v/>
      </c>
    </row>
    <row r="24" spans="1:11" x14ac:dyDescent="0.35">
      <c r="A24" t="s">
        <v>132</v>
      </c>
      <c r="B24" t="s">
        <v>119</v>
      </c>
      <c r="C24" s="4">
        <v>3500</v>
      </c>
      <c r="D24" s="22">
        <f t="shared" si="0"/>
        <v>3500</v>
      </c>
      <c r="E24" s="23">
        <f>SUMIFS(Cashbook!$E$6:$E$225,Cashbook!$A$6:$A$225,"&gt;="&amp;'Precept - forecast'!$D$6,Cashbook!$A$6:$A$225,"&lt;="&amp;'Precept - forecast'!$E$6,Cashbook!$J$6:$J$225,'Precept - forecast'!$A24)</f>
        <v>2677</v>
      </c>
      <c r="F24" s="23">
        <f t="shared" si="2"/>
        <v>823</v>
      </c>
      <c r="G24" s="24">
        <f t="shared" si="5"/>
        <v>0.23514285714285715</v>
      </c>
      <c r="H24" s="37">
        <f>IF(K24="Monthly",+E24+C24*($B$4-'Precept - budget YTD'!$B$4)/12,'Precept - forecast'!E24)</f>
        <v>2677</v>
      </c>
      <c r="I24" s="38">
        <f t="shared" si="3"/>
        <v>823</v>
      </c>
      <c r="J24" s="39">
        <f t="shared" si="4"/>
        <v>0.23514285714285715</v>
      </c>
    </row>
    <row r="25" spans="1:11" x14ac:dyDescent="0.35">
      <c r="A25" t="s">
        <v>120</v>
      </c>
      <c r="B25" t="s">
        <v>120</v>
      </c>
      <c r="C25" s="4">
        <v>2000</v>
      </c>
      <c r="D25" s="22">
        <f t="shared" si="0"/>
        <v>2000</v>
      </c>
      <c r="E25" s="23">
        <f>SUMIFS(Cashbook!$E$6:$E$225,Cashbook!$A$6:$A$225,"&gt;="&amp;'Precept - forecast'!$D$6,Cashbook!$A$6:$A$225,"&lt;="&amp;'Precept - forecast'!$E$6,Cashbook!$J$6:$J$225,'Precept - forecast'!$A25)</f>
        <v>18000</v>
      </c>
      <c r="F25" s="23">
        <f t="shared" si="2"/>
        <v>-16000</v>
      </c>
      <c r="G25" s="24">
        <f t="shared" si="5"/>
        <v>-8</v>
      </c>
      <c r="H25" s="37">
        <f>IF(K25="Monthly",+E25+C25*($B$4-'Precept - budget YTD'!$B$4)/12,'Precept - forecast'!E25)</f>
        <v>18000</v>
      </c>
      <c r="I25" s="38">
        <f t="shared" si="3"/>
        <v>-16000</v>
      </c>
      <c r="J25" s="39">
        <f t="shared" si="4"/>
        <v>-8</v>
      </c>
      <c r="K25" t="s">
        <v>189</v>
      </c>
    </row>
    <row r="26" spans="1:11" x14ac:dyDescent="0.35">
      <c r="A26" t="s">
        <v>121</v>
      </c>
      <c r="B26" t="s">
        <v>121</v>
      </c>
      <c r="C26" s="4">
        <v>150</v>
      </c>
      <c r="D26" s="22">
        <f t="shared" si="0"/>
        <v>150</v>
      </c>
      <c r="E26" s="23">
        <f>SUMIFS(Cashbook!$E$6:$E$225,Cashbook!$A$6:$A$225,"&gt;="&amp;'Precept - forecast'!$D$6,Cashbook!$A$6:$A$225,"&lt;="&amp;'Precept - forecast'!$E$6,Cashbook!$J$6:$J$225,'Precept - forecast'!$A26)</f>
        <v>0</v>
      </c>
      <c r="F26" s="23">
        <f t="shared" si="2"/>
        <v>150</v>
      </c>
      <c r="G26" s="24" t="str">
        <f t="shared" si="5"/>
        <v/>
      </c>
      <c r="H26" s="37">
        <f>IF(K26="Monthly",+E26+C26*($B$4-'Precept - budget YTD'!$B$4)/12,'Precept - forecast'!E26)</f>
        <v>0</v>
      </c>
      <c r="I26" s="38">
        <f t="shared" si="3"/>
        <v>150</v>
      </c>
      <c r="J26" s="39" t="str">
        <f t="shared" si="4"/>
        <v/>
      </c>
      <c r="K26" s="46" t="s">
        <v>190</v>
      </c>
    </row>
    <row r="27" spans="1:11" x14ac:dyDescent="0.35">
      <c r="A27" t="s">
        <v>133</v>
      </c>
      <c r="B27" t="s">
        <v>122</v>
      </c>
      <c r="C27" s="4">
        <v>400</v>
      </c>
      <c r="D27" s="22">
        <f t="shared" si="0"/>
        <v>400</v>
      </c>
      <c r="E27" s="23">
        <f>SUMIFS(Cashbook!$E$6:$E$225,Cashbook!$A$6:$A$225,"&gt;="&amp;'Precept - forecast'!$D$6,Cashbook!$A$6:$A$225,"&lt;="&amp;'Precept - forecast'!$E$6,Cashbook!$J$6:$J$225,'Precept - forecast'!$A27)</f>
        <v>94.4</v>
      </c>
      <c r="F27" s="23">
        <f t="shared" si="2"/>
        <v>305.60000000000002</v>
      </c>
      <c r="G27" s="24">
        <f t="shared" si="5"/>
        <v>0.76400000000000001</v>
      </c>
      <c r="H27" s="37">
        <f>IF(K27="Monthly",+E27+C27*($B$4-'Precept - budget YTD'!$B$4)/12,'Precept - forecast'!E27)</f>
        <v>94.4</v>
      </c>
      <c r="I27" s="38">
        <f t="shared" si="3"/>
        <v>305.60000000000002</v>
      </c>
      <c r="J27" s="39">
        <f t="shared" si="4"/>
        <v>0.76400000000000001</v>
      </c>
      <c r="K27" t="s">
        <v>188</v>
      </c>
    </row>
    <row r="28" spans="1:11" x14ac:dyDescent="0.35">
      <c r="A28" t="s">
        <v>134</v>
      </c>
      <c r="B28" t="s">
        <v>123</v>
      </c>
      <c r="C28" s="15">
        <v>4300</v>
      </c>
      <c r="D28" s="22">
        <f t="shared" si="0"/>
        <v>4300</v>
      </c>
      <c r="E28" s="23">
        <f>SUMIFS(Cashbook!$E$6:$E$225,Cashbook!$A$6:$A$225,"&gt;="&amp;'Precept - forecast'!$D$6,Cashbook!$A$6:$A$225,"&lt;="&amp;'Precept - forecast'!$E$6,Cashbook!$J$6:$J$225,'Precept - forecast'!$A28)</f>
        <v>4112.5600000000004</v>
      </c>
      <c r="F28" s="23">
        <f t="shared" si="2"/>
        <v>187.4399999999996</v>
      </c>
      <c r="G28" s="24">
        <f t="shared" si="5"/>
        <v>4.3590697674418512E-2</v>
      </c>
      <c r="H28" s="37">
        <f>IF(K28="Monthly",+E28+C28*($B$4-'Precept - budget YTD'!$B$4)/12,'Precept - forecast'!E28)</f>
        <v>4112.5600000000004</v>
      </c>
      <c r="I28" s="38">
        <f t="shared" si="3"/>
        <v>187.4399999999996</v>
      </c>
      <c r="J28" s="39">
        <f t="shared" si="4"/>
        <v>4.3590697674418512E-2</v>
      </c>
    </row>
    <row r="29" spans="1:11" x14ac:dyDescent="0.35">
      <c r="A29" t="s">
        <v>124</v>
      </c>
      <c r="B29" t="s">
        <v>124</v>
      </c>
      <c r="C29" s="4">
        <v>500</v>
      </c>
      <c r="D29" s="22">
        <f t="shared" si="0"/>
        <v>500</v>
      </c>
      <c r="E29" s="23">
        <f>SUMIFS(Cashbook!$E$6:$E$225,Cashbook!$A$6:$A$225,"&gt;="&amp;'Precept - forecast'!$D$6,Cashbook!$A$6:$A$225,"&lt;="&amp;'Precept - forecast'!$E$6,Cashbook!$J$6:$J$225,'Precept - forecast'!$A29)</f>
        <v>0</v>
      </c>
      <c r="F29" s="23">
        <f t="shared" si="2"/>
        <v>500</v>
      </c>
      <c r="G29" s="24" t="str">
        <f t="shared" si="5"/>
        <v/>
      </c>
      <c r="H29" s="37">
        <f>IF(K29="Monthly",+E29+C29*($B$4-'Precept - budget YTD'!$B$4)/12,'Precept - forecast'!E29)</f>
        <v>0</v>
      </c>
      <c r="I29" s="38">
        <f t="shared" si="3"/>
        <v>500</v>
      </c>
      <c r="J29" s="39" t="str">
        <f t="shared" si="4"/>
        <v/>
      </c>
      <c r="K29" t="s">
        <v>190</v>
      </c>
    </row>
    <row r="30" spans="1:11" x14ac:dyDescent="0.35">
      <c r="A30" t="s">
        <v>135</v>
      </c>
      <c r="B30" t="s">
        <v>125</v>
      </c>
      <c r="C30" s="4">
        <v>500</v>
      </c>
      <c r="D30" s="22">
        <f t="shared" si="0"/>
        <v>500</v>
      </c>
      <c r="E30" s="23">
        <f>SUMIFS(Cashbook!$E$6:$E$225,Cashbook!$A$6:$A$225,"&gt;="&amp;'Precept - forecast'!$D$6,Cashbook!$A$6:$A$225,"&lt;="&amp;'Precept - forecast'!$E$6,Cashbook!$J$6:$J$225,'Precept - forecast'!$A30)</f>
        <v>0</v>
      </c>
      <c r="F30" s="23">
        <f t="shared" si="2"/>
        <v>500</v>
      </c>
      <c r="G30" s="24" t="str">
        <f t="shared" si="5"/>
        <v/>
      </c>
      <c r="H30" s="37">
        <f>IF(K30="Monthly",+E30+C30*($B$4-'Precept - budget YTD'!$B$4)/12,'Precept - forecast'!E30)</f>
        <v>0</v>
      </c>
      <c r="I30" s="38">
        <f t="shared" si="3"/>
        <v>500</v>
      </c>
      <c r="J30" s="39" t="str">
        <f t="shared" si="4"/>
        <v/>
      </c>
      <c r="K30" t="s">
        <v>189</v>
      </c>
    </row>
    <row r="31" spans="1:11" ht="15" thickBot="1" x14ac:dyDescent="0.4">
      <c r="A31" t="s">
        <v>126</v>
      </c>
      <c r="C31" s="14">
        <f>SUM(C10:C30)</f>
        <v>34200</v>
      </c>
      <c r="D31" s="25">
        <f t="shared" ref="D31:F31" si="6">SUM(D10:D30)</f>
        <v>34200</v>
      </c>
      <c r="E31" s="26">
        <f>SUM(E10:E30)</f>
        <v>43932.969999999994</v>
      </c>
      <c r="F31" s="26">
        <f t="shared" si="6"/>
        <v>-9732.9699999999975</v>
      </c>
      <c r="G31" s="27"/>
      <c r="H31" s="40"/>
      <c r="I31" s="41"/>
      <c r="J31" s="42"/>
    </row>
    <row r="32" spans="1:11" ht="15.5" thickTop="1" thickBot="1" x14ac:dyDescent="0.4">
      <c r="C32" s="4"/>
      <c r="D32" s="28"/>
      <c r="E32" s="29"/>
      <c r="F32" s="29"/>
      <c r="G32" s="30"/>
      <c r="H32" s="43"/>
      <c r="I32" s="44"/>
      <c r="J32" s="45"/>
    </row>
    <row r="33" spans="1:10" x14ac:dyDescent="0.35">
      <c r="C33" s="4"/>
    </row>
    <row r="34" spans="1:10" x14ac:dyDescent="0.35">
      <c r="A34" s="8" t="s">
        <v>174</v>
      </c>
      <c r="C34" s="13" t="s">
        <v>176</v>
      </c>
      <c r="D34" s="1" t="s">
        <v>191</v>
      </c>
      <c r="E34" s="1" t="s">
        <v>95</v>
      </c>
      <c r="F34" s="1" t="s">
        <v>171</v>
      </c>
      <c r="G34" s="1" t="s">
        <v>99</v>
      </c>
      <c r="H34" s="1" t="s">
        <v>181</v>
      </c>
      <c r="I34" s="1"/>
      <c r="J34" s="1"/>
    </row>
    <row r="35" spans="1:10" x14ac:dyDescent="0.35">
      <c r="A35" t="s">
        <v>175</v>
      </c>
      <c r="B35" t="s">
        <v>175</v>
      </c>
      <c r="C35" s="51">
        <v>9313.59</v>
      </c>
      <c r="E35" s="4">
        <f>SUMIFS(Cashbook!$E$6:$E$225,Cashbook!$A$6:$A$225,"&gt;="&amp;'Precept - forecast'!$D$6,Cashbook!$A$6:$A$225,"&lt;="&amp;'Precept - forecast'!$E$6,Cashbook!$J$6:$J$225,'Precept - forecast'!$A35,Cashbook!$K6:$K225,E$34)</f>
        <v>3894.5</v>
      </c>
      <c r="F35" s="4">
        <f>SUMIFS(Cashbook!$E$6:$E$225,Cashbook!$A$6:$A$225,"&gt;="&amp;'Precept - forecast'!$D$6,Cashbook!$A$6:$A$225,"&lt;="&amp;'Precept - forecast'!$E$6,Cashbook!$J$6:$J$225,'Precept - forecast'!$A35,Cashbook!$K6:$K225,F$34)</f>
        <v>0</v>
      </c>
      <c r="G35" s="51">
        <f>SUMIFS(Cashbook!$E$6:$E$225,Cashbook!$A$6:$A$225,"&gt;="&amp;'Precept - forecast'!$D$6,Cashbook!$A$6:$A$225,"&lt;="&amp;'Precept - forecast'!$E$6,Cashbook!$J$6:$J$225,'Precept - forecast'!$A35,Cashbook!$K6:$K225,G$34)</f>
        <v>0</v>
      </c>
      <c r="H35" s="5">
        <f>+C35+D35-E35-F35-G35</f>
        <v>5419.09</v>
      </c>
      <c r="I35" s="5"/>
      <c r="J35" s="5"/>
    </row>
    <row r="36" spans="1:10" x14ac:dyDescent="0.35">
      <c r="A36" t="s">
        <v>182</v>
      </c>
      <c r="B36" t="s">
        <v>182</v>
      </c>
      <c r="C36" s="4">
        <v>2388.98</v>
      </c>
      <c r="D36" s="5">
        <f>+C26</f>
        <v>150</v>
      </c>
      <c r="E36" s="4">
        <f>SUMIFS(Cashbook!$E$6:$E$225,Cashbook!$A$6:$A$225,"&gt;="&amp;'Precept - forecast'!$D$6,Cashbook!$A$6:$A$225,"&lt;="&amp;'Precept - forecast'!$E$6,Cashbook!$J$6:$J$225,'Precept - forecast'!$A36,Cashbook!$K7:$K226,E$34)</f>
        <v>473.99</v>
      </c>
      <c r="F36" s="4">
        <f>SUMIFS(Cashbook!$E$6:$E$225,Cashbook!$A$6:$A$225,"&gt;="&amp;'Precept - forecast'!$D$6,Cashbook!$A$6:$A$225,"&lt;="&amp;'Precept - forecast'!$E$6,Cashbook!$J$6:$J$225,'Precept - forecast'!$A36,Cashbook!$K7:$K226,F$34)</f>
        <v>0</v>
      </c>
      <c r="G36" s="4">
        <f>SUMIFS(Cashbook!$E$6:$E$225,Cashbook!$A$6:$A$225,"&gt;="&amp;'Precept - forecast'!$D$6,Cashbook!$A$6:$A$225,"&lt;="&amp;'Precept - forecast'!$E$6,Cashbook!$J$6:$J$225,'Precept - forecast'!$A36,Cashbook!$K7:$K226,G$34)</f>
        <v>0</v>
      </c>
      <c r="H36" s="5">
        <f>+C36+D36-E36-F36-G36</f>
        <v>2064.9899999999998</v>
      </c>
      <c r="I36" s="5"/>
      <c r="J36" s="5"/>
    </row>
    <row r="37" spans="1:10" x14ac:dyDescent="0.35">
      <c r="A37" t="s">
        <v>185</v>
      </c>
      <c r="B37" t="s">
        <v>183</v>
      </c>
      <c r="C37" s="4">
        <v>6302.44</v>
      </c>
      <c r="D37" s="5">
        <f>Cashbook!H60+Cashbook!H76</f>
        <v>2510.92</v>
      </c>
      <c r="E37" s="4">
        <f>SUMIFS(Cashbook!$E$6:$E$225,Cashbook!$A$6:$A$225,"&gt;="&amp;'Precept - forecast'!$D$6,Cashbook!$A$6:$A$225,"&lt;="&amp;'Precept - forecast'!$E$6,Cashbook!$J$6:$J$225,'Precept - forecast'!$A37,Cashbook!$K8:$K227,E$34)</f>
        <v>1120.06</v>
      </c>
      <c r="F37" s="4">
        <f>SUMIFS(Cashbook!$E$6:$E$225,Cashbook!$A$6:$A$225,"&gt;="&amp;'Precept - forecast'!$D$6,Cashbook!$A$6:$A$225,"&lt;="&amp;'Precept - forecast'!$E$6,Cashbook!$J$6:$J$225,'Precept - forecast'!$A37,Cashbook!$K8:$K227,F$34)</f>
        <v>0</v>
      </c>
      <c r="G37" s="4">
        <f>SUMIFS(Cashbook!$E$6:$E$225,Cashbook!$A$6:$A$225,"&gt;="&amp;'Precept - forecast'!$D$6,Cashbook!$A$6:$A$225,"&lt;="&amp;'Precept - forecast'!$E$6,Cashbook!$J$6:$J$225,'Precept - forecast'!$A37,Cashbook!$K8:$K227,G$34)</f>
        <v>0</v>
      </c>
      <c r="H37" s="5">
        <f t="shared" ref="H37:H39" si="7">+C37+D37-E37-F37-G37</f>
        <v>7693.3000000000011</v>
      </c>
      <c r="I37" s="5"/>
      <c r="J37" s="5"/>
    </row>
    <row r="38" spans="1:10" x14ac:dyDescent="0.35">
      <c r="A38" t="s">
        <v>187</v>
      </c>
      <c r="B38" t="s">
        <v>184</v>
      </c>
      <c r="C38" s="4">
        <v>1045.23</v>
      </c>
      <c r="E38" s="4">
        <f>SUMIFS(Cashbook!$E$6:$E$225,Cashbook!$A$6:$A$225,"&gt;="&amp;'Precept - forecast'!$D$6,Cashbook!$A$6:$A$225,"&lt;="&amp;'Precept - forecast'!$E$6,Cashbook!$J$6:$J$225,'Precept - forecast'!$A38,Cashbook!$K9:$K228,E$34)</f>
        <v>0</v>
      </c>
      <c r="F38" s="4">
        <f>SUMIFS(Cashbook!$E$6:$E$225,Cashbook!$A$6:$A$225,"&gt;="&amp;'Precept - forecast'!$D$6,Cashbook!$A$6:$A$225,"&lt;="&amp;'Precept - forecast'!$E$6,Cashbook!$J$6:$J$225,'Precept - forecast'!$A38,Cashbook!$K9:$K228,F$34)</f>
        <v>0</v>
      </c>
      <c r="G38" s="4">
        <f>SUMIFS(Cashbook!$E$6:$E$225,Cashbook!$A$6:$A$225,"&gt;="&amp;'Precept - forecast'!$D$6,Cashbook!$A$6:$A$225,"&lt;="&amp;'Precept - forecast'!$E$6,Cashbook!$J$6:$J$225,'Precept - forecast'!$A38,Cashbook!$K9:$K228,G$34)</f>
        <v>0</v>
      </c>
      <c r="H38" s="5">
        <f t="shared" si="7"/>
        <v>1045.23</v>
      </c>
      <c r="I38" s="5"/>
      <c r="J38" s="5"/>
    </row>
    <row r="39" spans="1:10" x14ac:dyDescent="0.35">
      <c r="A39" s="140" t="s">
        <v>8</v>
      </c>
      <c r="B39" s="140" t="s">
        <v>365</v>
      </c>
      <c r="C39" s="139">
        <v>730.27</v>
      </c>
      <c r="D39" s="141">
        <f>Cashbook!F106</f>
        <v>1290.01</v>
      </c>
      <c r="E39" s="139">
        <f>Cashbook!H25</f>
        <v>730.27</v>
      </c>
      <c r="F39" s="139"/>
      <c r="G39" s="139"/>
      <c r="H39" s="141">
        <f t="shared" si="7"/>
        <v>1290.01</v>
      </c>
      <c r="I39" s="5"/>
      <c r="J39" s="5"/>
    </row>
    <row r="40" spans="1:10" x14ac:dyDescent="0.35">
      <c r="A40" s="116" t="s">
        <v>373</v>
      </c>
    </row>
    <row r="41" spans="1:10" x14ac:dyDescent="0.35">
      <c r="A41" t="s">
        <v>202</v>
      </c>
    </row>
    <row r="42" spans="1:10" ht="15" thickBot="1" x14ac:dyDescent="0.4">
      <c r="A42" t="s">
        <v>361</v>
      </c>
      <c r="C42" s="5">
        <f>SUM(C35:C41)</f>
        <v>19780.509999999998</v>
      </c>
      <c r="E42" s="103">
        <f>SUM(E31:E38)+D39</f>
        <v>50711.529999999992</v>
      </c>
      <c r="F42" t="s">
        <v>368</v>
      </c>
      <c r="G42" s="5">
        <f>E42-Cashbook!G106</f>
        <v>0</v>
      </c>
    </row>
    <row r="43" spans="1:10" x14ac:dyDescent="0.35">
      <c r="A43" t="s">
        <v>359</v>
      </c>
      <c r="E43" s="5">
        <f>E42-Cashbook!E106</f>
        <v>1290.0099999999948</v>
      </c>
      <c r="F43" t="s">
        <v>366</v>
      </c>
    </row>
    <row r="44" spans="1:10" ht="15" thickBot="1" x14ac:dyDescent="0.4">
      <c r="E44" s="103">
        <f>E42-E43</f>
        <v>49421.52</v>
      </c>
      <c r="F44" t="s">
        <v>367</v>
      </c>
    </row>
    <row r="46" spans="1:10" x14ac:dyDescent="0.35">
      <c r="B46" s="131" t="s">
        <v>386</v>
      </c>
      <c r="C46" s="67"/>
      <c r="D46" s="67"/>
      <c r="E46" s="68"/>
    </row>
    <row r="47" spans="1:10" x14ac:dyDescent="0.35">
      <c r="B47" s="132">
        <v>23</v>
      </c>
      <c r="C47" s="133">
        <f>34200+3142</f>
        <v>37342</v>
      </c>
      <c r="D47" s="133"/>
      <c r="E47" s="70"/>
    </row>
    <row r="48" spans="1:10" x14ac:dyDescent="0.35">
      <c r="B48" s="132">
        <v>456</v>
      </c>
      <c r="C48" s="133">
        <f>10800+4300+19100</f>
        <v>34200</v>
      </c>
      <c r="D48" s="133"/>
      <c r="E48" s="70"/>
    </row>
    <row r="49" spans="2:5" x14ac:dyDescent="0.35">
      <c r="B49" s="132"/>
      <c r="C49" s="133">
        <f>C47-C48</f>
        <v>3142</v>
      </c>
      <c r="D49" s="133"/>
      <c r="E49" s="70"/>
    </row>
    <row r="50" spans="2:5" x14ac:dyDescent="0.35">
      <c r="B50" s="132">
        <v>1</v>
      </c>
      <c r="C50" s="134">
        <f>36921-C49</f>
        <v>33779</v>
      </c>
      <c r="D50" s="134" t="s">
        <v>385</v>
      </c>
      <c r="E50" s="70"/>
    </row>
    <row r="51" spans="2:5" x14ac:dyDescent="0.35">
      <c r="B51" s="76"/>
      <c r="C51" s="77"/>
      <c r="D51" s="77"/>
      <c r="E51" s="78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B04DA01-0AFA-43DB-B237-954D1D83F7D7}">
          <x14:formula1>
            <xm:f>Labels!$A$10:$A$37</xm:f>
          </x14:formula1>
          <xm:sqref>A10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DCEC4-A4EF-429A-B636-84262FBE1CC8}">
  <dimension ref="A1:I38"/>
  <sheetViews>
    <sheetView topLeftCell="A18" workbookViewId="0">
      <selection activeCell="E35" sqref="E35"/>
    </sheetView>
  </sheetViews>
  <sheetFormatPr defaultRowHeight="14.5" x14ac:dyDescent="0.35"/>
  <cols>
    <col min="1" max="2" width="32.453125" customWidth="1"/>
    <col min="3" max="3" width="13.54296875" customWidth="1"/>
    <col min="4" max="7" width="12.54296875" customWidth="1"/>
  </cols>
  <sheetData>
    <row r="1" spans="1:9" x14ac:dyDescent="0.35">
      <c r="A1" t="s">
        <v>0</v>
      </c>
    </row>
    <row r="2" spans="1:9" x14ac:dyDescent="0.35">
      <c r="A2" t="s">
        <v>105</v>
      </c>
    </row>
    <row r="3" spans="1:9" x14ac:dyDescent="0.35">
      <c r="A3" t="s">
        <v>2</v>
      </c>
      <c r="B3" s="10">
        <f>+Cashbook!B3</f>
        <v>46117</v>
      </c>
    </row>
    <row r="4" spans="1:9" x14ac:dyDescent="0.35">
      <c r="A4" t="s">
        <v>153</v>
      </c>
      <c r="B4" s="12">
        <f>DATEDIF(D6, E6, "m")+1</f>
        <v>12</v>
      </c>
    </row>
    <row r="5" spans="1:9" x14ac:dyDescent="0.35">
      <c r="D5" t="s">
        <v>194</v>
      </c>
    </row>
    <row r="6" spans="1:9" s="11" customFormat="1" x14ac:dyDescent="0.35">
      <c r="D6" s="11">
        <v>45752</v>
      </c>
      <c r="E6" s="11">
        <v>46113</v>
      </c>
      <c r="I6"/>
    </row>
    <row r="7" spans="1:9" s="11" customFormat="1" ht="15" thickBot="1" x14ac:dyDescent="0.4">
      <c r="D7" s="11" t="s">
        <v>195</v>
      </c>
      <c r="I7"/>
    </row>
    <row r="8" spans="1:9" x14ac:dyDescent="0.35">
      <c r="A8" s="9" t="s">
        <v>137</v>
      </c>
      <c r="B8" s="9" t="s">
        <v>138</v>
      </c>
      <c r="C8" s="9" t="s">
        <v>92</v>
      </c>
      <c r="D8" s="16" t="s">
        <v>140</v>
      </c>
      <c r="E8" s="17" t="s">
        <v>141</v>
      </c>
      <c r="F8" s="17" t="s">
        <v>142</v>
      </c>
      <c r="G8" s="18" t="s">
        <v>142</v>
      </c>
    </row>
    <row r="9" spans="1:9" s="9" customFormat="1" x14ac:dyDescent="0.35">
      <c r="C9" s="9" t="s">
        <v>139</v>
      </c>
      <c r="D9" s="19"/>
      <c r="E9" s="20"/>
      <c r="F9" s="20" t="s">
        <v>139</v>
      </c>
      <c r="G9" s="21" t="s">
        <v>143</v>
      </c>
    </row>
    <row r="10" spans="1:9" x14ac:dyDescent="0.35">
      <c r="A10" s="6" t="s">
        <v>154</v>
      </c>
      <c r="B10" t="s">
        <v>106</v>
      </c>
      <c r="C10" s="4">
        <v>9850</v>
      </c>
      <c r="D10" s="22">
        <f>+C10*(DATEDIF($D$6, $E$6, "m")+1)/12</f>
        <v>9850</v>
      </c>
      <c r="E10" s="23">
        <f>SUMIFS(Cashbook!$E$6:$E$225,Cashbook!$A$6:$A$225,"&gt;="&amp;'Precept - budget YTD'!$D$6,Cashbook!$A$6:$A$225,"&lt;="&amp;'Precept - budget YTD'!$E$6,Cashbook!$J$6:$J$225,'Precept - budget YTD'!$A10)</f>
        <v>12484.309999999998</v>
      </c>
      <c r="F10" s="23">
        <f>D10-E10</f>
        <v>-2634.3099999999977</v>
      </c>
      <c r="G10" s="24">
        <f t="shared" ref="G10:G17" si="0">IF(E10=0,"",+F10/D10)</f>
        <v>-0.2674426395939084</v>
      </c>
      <c r="H10" s="4" t="str">
        <f>+'Precept - forecast'!K10</f>
        <v>Monthly</v>
      </c>
    </row>
    <row r="11" spans="1:9" x14ac:dyDescent="0.35">
      <c r="A11" t="s">
        <v>97</v>
      </c>
      <c r="B11" t="s">
        <v>107</v>
      </c>
      <c r="C11" s="4">
        <v>150</v>
      </c>
      <c r="D11" s="22">
        <f t="shared" ref="D11:D30" si="1">+C11*(DATEDIF($D$6, $E$6, "m")+1)/12</f>
        <v>150</v>
      </c>
      <c r="E11" s="23">
        <f>SUMIFS(Cashbook!$E$6:$E$225,Cashbook!$A$6:$A$225,"&gt;="&amp;'Precept - budget YTD'!$D$6,Cashbook!$A$6:$A$225,"&lt;="&amp;'Precept - budget YTD'!$E$6,Cashbook!$J$6:$J$225,'Precept - budget YTD'!$A11)</f>
        <v>44.66</v>
      </c>
      <c r="F11" s="23">
        <f t="shared" ref="F11:F30" si="2">D11-E11</f>
        <v>105.34</v>
      </c>
      <c r="G11" s="24">
        <f t="shared" si="0"/>
        <v>0.70226666666666671</v>
      </c>
      <c r="H11" s="4" t="str">
        <f>+'Precept - forecast'!K11</f>
        <v>Monthly</v>
      </c>
    </row>
    <row r="12" spans="1:9" x14ac:dyDescent="0.35">
      <c r="A12" t="s">
        <v>127</v>
      </c>
      <c r="B12" t="s">
        <v>108</v>
      </c>
      <c r="C12" s="4">
        <v>500</v>
      </c>
      <c r="D12" s="22">
        <f t="shared" si="1"/>
        <v>500</v>
      </c>
      <c r="E12" s="23">
        <f>SUMIFS(Cashbook!$E$6:$E$225,Cashbook!$A$6:$A$225,"&gt;="&amp;'Precept - budget YTD'!$D$6,Cashbook!$A$6:$A$225,"&lt;="&amp;'Precept - budget YTD'!$E$6,Cashbook!$J$6:$J$225,'Precept - budget YTD'!$A12)</f>
        <v>260</v>
      </c>
      <c r="F12" s="23">
        <f t="shared" si="2"/>
        <v>240</v>
      </c>
      <c r="G12" s="24">
        <f t="shared" si="0"/>
        <v>0.48</v>
      </c>
      <c r="H12" s="4" t="str">
        <f>+'Precept - forecast'!K12</f>
        <v>Monthly</v>
      </c>
    </row>
    <row r="13" spans="1:9" x14ac:dyDescent="0.35">
      <c r="A13" t="s">
        <v>128</v>
      </c>
      <c r="B13" t="s">
        <v>109</v>
      </c>
      <c r="C13" s="4">
        <v>300</v>
      </c>
      <c r="D13" s="22">
        <f t="shared" si="1"/>
        <v>300</v>
      </c>
      <c r="E13" s="23">
        <f>SUMIFS(Cashbook!$E$6:$E$225,Cashbook!$A$6:$A$225,"&gt;="&amp;'Precept - budget YTD'!$D$6,Cashbook!$A$6:$A$225,"&lt;="&amp;'Precept - budget YTD'!$E$6,Cashbook!$J$6:$J$225,'Precept - budget YTD'!$A13)</f>
        <v>309.05</v>
      </c>
      <c r="F13" s="23">
        <f t="shared" si="2"/>
        <v>-9.0500000000000114</v>
      </c>
      <c r="G13" s="24">
        <f t="shared" si="0"/>
        <v>-3.0166666666666706E-2</v>
      </c>
      <c r="H13" s="4" t="str">
        <f>+'Precept - forecast'!K13</f>
        <v>Monthly</v>
      </c>
    </row>
    <row r="14" spans="1:9" x14ac:dyDescent="0.35">
      <c r="A14" t="s">
        <v>136</v>
      </c>
      <c r="B14" t="s">
        <v>110</v>
      </c>
      <c r="C14" s="4">
        <v>600</v>
      </c>
      <c r="D14" s="22">
        <f t="shared" si="1"/>
        <v>600</v>
      </c>
      <c r="E14" s="23">
        <f>SUMIFS(Cashbook!$E$6:$E$225,Cashbook!$A$6:$A$225,"&gt;="&amp;'Precept - budget YTD'!$D$6,Cashbook!$A$6:$A$225,"&lt;="&amp;'Precept - budget YTD'!$E$6,Cashbook!$J$6:$J$225,'Precept - budget YTD'!$A14)</f>
        <v>593.75</v>
      </c>
      <c r="F14" s="23">
        <f t="shared" si="2"/>
        <v>6.25</v>
      </c>
      <c r="G14" s="24">
        <f t="shared" si="0"/>
        <v>1.0416666666666666E-2</v>
      </c>
      <c r="H14" s="4">
        <f>+'Precept - forecast'!K14</f>
        <v>0</v>
      </c>
    </row>
    <row r="15" spans="1:9" x14ac:dyDescent="0.35">
      <c r="A15" t="s">
        <v>129</v>
      </c>
      <c r="B15" t="s">
        <v>111</v>
      </c>
      <c r="C15" s="4">
        <v>350</v>
      </c>
      <c r="D15" s="22">
        <f t="shared" si="1"/>
        <v>350</v>
      </c>
      <c r="E15" s="23">
        <f>SUMIFS(Cashbook!$E$6:$E$225,Cashbook!$A$6:$A$225,"&gt;="&amp;'Precept - budget YTD'!$D$6,Cashbook!$A$6:$A$225,"&lt;="&amp;'Precept - budget YTD'!$E$6,Cashbook!$J$6:$J$225,'Precept - budget YTD'!$A15)</f>
        <v>312.15999999999997</v>
      </c>
      <c r="F15" s="23">
        <f t="shared" si="2"/>
        <v>37.840000000000032</v>
      </c>
      <c r="G15" s="24">
        <f t="shared" si="0"/>
        <v>0.1081142857142858</v>
      </c>
      <c r="H15" s="4" t="str">
        <f>+'Precept - forecast'!K15</f>
        <v>Monthly</v>
      </c>
    </row>
    <row r="16" spans="1:9" x14ac:dyDescent="0.35">
      <c r="A16" t="s">
        <v>112</v>
      </c>
      <c r="B16" t="s">
        <v>112</v>
      </c>
      <c r="C16" s="4">
        <v>250</v>
      </c>
      <c r="D16" s="22">
        <f t="shared" si="1"/>
        <v>250</v>
      </c>
      <c r="E16" s="23">
        <f>SUMIFS(Cashbook!$E$6:$E$225,Cashbook!$A$6:$A$225,"&gt;="&amp;'Precept - budget YTD'!$D$6,Cashbook!$A$6:$A$225,"&lt;="&amp;'Precept - budget YTD'!$E$6,Cashbook!$J$6:$J$225,'Precept - budget YTD'!$A16)</f>
        <v>196</v>
      </c>
      <c r="F16" s="23">
        <f t="shared" si="2"/>
        <v>54</v>
      </c>
      <c r="G16" s="24">
        <f t="shared" si="0"/>
        <v>0.216</v>
      </c>
      <c r="H16" s="4" t="str">
        <f>+'Precept - forecast'!K16</f>
        <v>Monthly</v>
      </c>
    </row>
    <row r="17" spans="1:8" x14ac:dyDescent="0.35">
      <c r="A17" t="s">
        <v>96</v>
      </c>
      <c r="B17" t="s">
        <v>96</v>
      </c>
      <c r="C17" s="4">
        <v>750</v>
      </c>
      <c r="D17" s="22">
        <f t="shared" si="1"/>
        <v>750</v>
      </c>
      <c r="E17" s="23">
        <f>SUMIFS(Cashbook!$E$6:$E$225,Cashbook!$A$6:$A$225,"&gt;="&amp;'Precept - budget YTD'!$D$6,Cashbook!$A$6:$A$225,"&lt;="&amp;'Precept - budget YTD'!$E$6,Cashbook!$J$6:$J$225,'Precept - budget YTD'!$A17)</f>
        <v>772.83</v>
      </c>
      <c r="F17" s="23">
        <f t="shared" si="2"/>
        <v>-22.830000000000041</v>
      </c>
      <c r="G17" s="24">
        <f t="shared" si="0"/>
        <v>-3.0440000000000054E-2</v>
      </c>
      <c r="H17" s="4">
        <f>+'Precept - forecast'!K17</f>
        <v>0</v>
      </c>
    </row>
    <row r="18" spans="1:8" x14ac:dyDescent="0.35">
      <c r="A18" t="s">
        <v>113</v>
      </c>
      <c r="B18" t="s">
        <v>113</v>
      </c>
      <c r="C18" s="4">
        <v>650</v>
      </c>
      <c r="D18" s="22">
        <f t="shared" si="1"/>
        <v>650</v>
      </c>
      <c r="E18" s="23">
        <f>SUMIFS(Cashbook!$E$6:$E$225,Cashbook!$A$6:$A$225,"&gt;="&amp;'Precept - budget YTD'!$D$6,Cashbook!$A$6:$A$225,"&lt;="&amp;'Precept - budget YTD'!$E$6,Cashbook!$J$6:$J$225,'Precept - budget YTD'!$A18)</f>
        <v>361.25</v>
      </c>
      <c r="F18" s="23">
        <f t="shared" si="2"/>
        <v>288.75</v>
      </c>
      <c r="G18" s="24">
        <f>IF(E18=0,"",+F18/D18)</f>
        <v>0.44423076923076921</v>
      </c>
      <c r="H18" s="4">
        <f>+'Precept - forecast'!K18</f>
        <v>0</v>
      </c>
    </row>
    <row r="19" spans="1:8" x14ac:dyDescent="0.35">
      <c r="A19" t="s">
        <v>114</v>
      </c>
      <c r="B19" t="s">
        <v>114</v>
      </c>
      <c r="C19" s="4">
        <v>250</v>
      </c>
      <c r="D19" s="22">
        <f t="shared" si="1"/>
        <v>250</v>
      </c>
      <c r="E19" s="23">
        <f>SUMIFS(Cashbook!$E$6:$E$225,Cashbook!$A$6:$A$225,"&gt;="&amp;'Precept - budget YTD'!$D$6,Cashbook!$A$6:$A$225,"&lt;="&amp;'Precept - budget YTD'!$E$6,Cashbook!$J$6:$J$225,'Precept - budget YTD'!$A19)</f>
        <v>250</v>
      </c>
      <c r="F19" s="23">
        <f t="shared" si="2"/>
        <v>0</v>
      </c>
      <c r="G19" s="24">
        <f t="shared" ref="G19:G30" si="3">IF(E19=0,"",+F19/D19)</f>
        <v>0</v>
      </c>
      <c r="H19" s="4" t="str">
        <f>+'Precept - forecast'!K19</f>
        <v>As spent</v>
      </c>
    </row>
    <row r="20" spans="1:8" x14ac:dyDescent="0.35">
      <c r="A20" t="s">
        <v>130</v>
      </c>
      <c r="B20" t="s">
        <v>115</v>
      </c>
      <c r="C20" s="4">
        <v>200</v>
      </c>
      <c r="D20" s="22">
        <f t="shared" si="1"/>
        <v>200</v>
      </c>
      <c r="E20" s="23">
        <f>SUMIFS(Cashbook!$E$6:$E$225,Cashbook!$A$6:$A$225,"&gt;="&amp;'Precept - budget YTD'!$D$6,Cashbook!$A$6:$A$225,"&lt;="&amp;'Precept - budget YTD'!$E$6,Cashbook!$J$6:$J$225,'Precept - budget YTD'!$A20)</f>
        <v>215</v>
      </c>
      <c r="F20" s="23">
        <f t="shared" si="2"/>
        <v>-15</v>
      </c>
      <c r="G20" s="24">
        <f t="shared" si="3"/>
        <v>-7.4999999999999997E-2</v>
      </c>
      <c r="H20" s="4" t="str">
        <f>+'Precept - forecast'!K20</f>
        <v>Monthly</v>
      </c>
    </row>
    <row r="21" spans="1:8" x14ac:dyDescent="0.35">
      <c r="A21" t="s">
        <v>116</v>
      </c>
      <c r="B21" t="s">
        <v>116</v>
      </c>
      <c r="C21" s="4">
        <v>5500</v>
      </c>
      <c r="D21" s="22">
        <f t="shared" si="1"/>
        <v>5500</v>
      </c>
      <c r="E21" s="23">
        <f>SUMIFS(Cashbook!$E$6:$E$225,Cashbook!$A$6:$A$225,"&gt;="&amp;'Precept - budget YTD'!$D$6,Cashbook!$A$6:$A$225,"&lt;="&amp;'Precept - budget YTD'!$E$6,Cashbook!$J$6:$J$225,'Precept - budget YTD'!$A21)</f>
        <v>3250</v>
      </c>
      <c r="F21" s="23">
        <f t="shared" si="2"/>
        <v>2250</v>
      </c>
      <c r="G21" s="24">
        <f t="shared" si="3"/>
        <v>0.40909090909090912</v>
      </c>
      <c r="H21" s="4" t="str">
        <f>+'Precept - forecast'!K21</f>
        <v>Monthly</v>
      </c>
    </row>
    <row r="22" spans="1:8" x14ac:dyDescent="0.35">
      <c r="A22" t="s">
        <v>117</v>
      </c>
      <c r="B22" t="s">
        <v>117</v>
      </c>
      <c r="C22" s="4">
        <v>1000</v>
      </c>
      <c r="D22" s="22">
        <f t="shared" si="1"/>
        <v>1000</v>
      </c>
      <c r="E22" s="23">
        <f>SUMIFS(Cashbook!$E$6:$E$225,Cashbook!$A$6:$A$225,"&gt;="&amp;'Precept - budget YTD'!$D$6,Cashbook!$A$6:$A$225,"&lt;="&amp;'Precept - budget YTD'!$E$6,Cashbook!$J$6:$J$225,'Precept - budget YTD'!$A22)</f>
        <v>0</v>
      </c>
      <c r="F22" s="23">
        <f t="shared" si="2"/>
        <v>1000</v>
      </c>
      <c r="G22" s="24" t="str">
        <f t="shared" si="3"/>
        <v/>
      </c>
      <c r="H22" s="4">
        <f>+'Precept - forecast'!K22</f>
        <v>0</v>
      </c>
    </row>
    <row r="23" spans="1:8" x14ac:dyDescent="0.35">
      <c r="A23" t="s">
        <v>131</v>
      </c>
      <c r="B23" t="s">
        <v>118</v>
      </c>
      <c r="C23" s="4">
        <v>2500</v>
      </c>
      <c r="D23" s="22">
        <f t="shared" si="1"/>
        <v>2500</v>
      </c>
      <c r="E23" s="23">
        <f>SUMIFS(Cashbook!$E$6:$E$225,Cashbook!$A$6:$A$225,"&gt;="&amp;'Precept - budget YTD'!$D$6,Cashbook!$A$6:$A$225,"&lt;="&amp;'Precept - budget YTD'!$E$6,Cashbook!$J$6:$J$225,'Precept - budget YTD'!$A23)</f>
        <v>0</v>
      </c>
      <c r="F23" s="23">
        <f t="shared" si="2"/>
        <v>2500</v>
      </c>
      <c r="G23" s="24" t="str">
        <f t="shared" si="3"/>
        <v/>
      </c>
      <c r="H23" s="4">
        <f>+'Precept - forecast'!K23</f>
        <v>0</v>
      </c>
    </row>
    <row r="24" spans="1:8" x14ac:dyDescent="0.35">
      <c r="A24" t="s">
        <v>132</v>
      </c>
      <c r="B24" t="s">
        <v>119</v>
      </c>
      <c r="C24" s="4">
        <v>3500</v>
      </c>
      <c r="D24" s="22">
        <f t="shared" si="1"/>
        <v>3500</v>
      </c>
      <c r="E24" s="23">
        <f>SUMIFS(Cashbook!$E$6:$E$225,Cashbook!$A$6:$A$225,"&gt;="&amp;'Precept - budget YTD'!$D$6,Cashbook!$A$6:$A$225,"&lt;="&amp;'Precept - budget YTD'!$E$6,Cashbook!$J$6:$J$225,'Precept - budget YTD'!$A24)</f>
        <v>2677</v>
      </c>
      <c r="F24" s="23">
        <f t="shared" si="2"/>
        <v>823</v>
      </c>
      <c r="G24" s="24">
        <f t="shared" si="3"/>
        <v>0.23514285714285715</v>
      </c>
      <c r="H24" s="4">
        <f>+'Precept - forecast'!K24</f>
        <v>0</v>
      </c>
    </row>
    <row r="25" spans="1:8" x14ac:dyDescent="0.35">
      <c r="A25" t="s">
        <v>120</v>
      </c>
      <c r="B25" t="s">
        <v>120</v>
      </c>
      <c r="C25" s="4">
        <v>2000</v>
      </c>
      <c r="D25" s="22">
        <f>+C25*(DATEDIF($D$6, $E$6, "m")+1)/12</f>
        <v>2000</v>
      </c>
      <c r="E25" s="23">
        <f>SUMIFS(Cashbook!$E$6:$E$225,Cashbook!$A$6:$A$225,"&gt;="&amp;'Precept - budget YTD'!$D$6,Cashbook!$A$6:$A$225,"&lt;="&amp;'Precept - budget YTD'!$E$6,Cashbook!$J$6:$J$225,'Precept - budget YTD'!$A25)</f>
        <v>18000</v>
      </c>
      <c r="F25" s="23">
        <f t="shared" si="2"/>
        <v>-16000</v>
      </c>
      <c r="G25" s="24">
        <f t="shared" si="3"/>
        <v>-8</v>
      </c>
      <c r="H25" s="4" t="str">
        <f>+'Precept - forecast'!K25</f>
        <v>As spent</v>
      </c>
    </row>
    <row r="26" spans="1:8" x14ac:dyDescent="0.35">
      <c r="A26" t="s">
        <v>121</v>
      </c>
      <c r="B26" t="s">
        <v>121</v>
      </c>
      <c r="C26" s="4">
        <v>150</v>
      </c>
      <c r="D26" s="22">
        <f t="shared" si="1"/>
        <v>150</v>
      </c>
      <c r="E26" s="23">
        <f>SUMIFS(Cashbook!$E$6:$E$225,Cashbook!$A$6:$A$225,"&gt;="&amp;'Precept - budget YTD'!$D$6,Cashbook!$A$6:$A$225,"&lt;="&amp;'Precept - budget YTD'!$E$6,Cashbook!$J$6:$J$225,'Precept - budget YTD'!$A26)</f>
        <v>0</v>
      </c>
      <c r="F26" s="23">
        <f t="shared" si="2"/>
        <v>150</v>
      </c>
      <c r="G26" s="24" t="str">
        <f t="shared" si="3"/>
        <v/>
      </c>
      <c r="H26" s="15" t="str">
        <f>+'Precept - forecast'!K26</f>
        <v>Reserves</v>
      </c>
    </row>
    <row r="27" spans="1:8" x14ac:dyDescent="0.35">
      <c r="A27" t="s">
        <v>133</v>
      </c>
      <c r="B27" t="s">
        <v>122</v>
      </c>
      <c r="C27" s="4">
        <v>400</v>
      </c>
      <c r="D27" s="22">
        <f t="shared" si="1"/>
        <v>400</v>
      </c>
      <c r="E27" s="23">
        <f>SUMIFS(Cashbook!$E$6:$E$225,Cashbook!$A$6:$A$225,"&gt;="&amp;'Precept - budget YTD'!$D$6,Cashbook!$A$6:$A$225,"&lt;="&amp;'Precept - budget YTD'!$E$6,Cashbook!$J$6:$J$225,'Precept - budget YTD'!$A27)</f>
        <v>94.4</v>
      </c>
      <c r="F27" s="23">
        <f t="shared" si="2"/>
        <v>305.60000000000002</v>
      </c>
      <c r="G27" s="24">
        <f t="shared" si="3"/>
        <v>0.76400000000000001</v>
      </c>
      <c r="H27" s="4" t="str">
        <f>+'Precept - forecast'!K27</f>
        <v>Monthly</v>
      </c>
    </row>
    <row r="28" spans="1:8" x14ac:dyDescent="0.35">
      <c r="A28" t="s">
        <v>134</v>
      </c>
      <c r="B28" t="s">
        <v>123</v>
      </c>
      <c r="C28" s="4">
        <v>4300</v>
      </c>
      <c r="D28" s="22">
        <f t="shared" si="1"/>
        <v>4300</v>
      </c>
      <c r="E28" s="23">
        <f>SUMIFS(Cashbook!$E$6:$E$225,Cashbook!$A$6:$A$225,"&gt;="&amp;'Precept - budget YTD'!$D$6,Cashbook!$A$6:$A$225,"&lt;="&amp;'Precept - budget YTD'!$E$6,Cashbook!$J$6:$J$225,'Precept - budget YTD'!$A28)</f>
        <v>4112.5600000000004</v>
      </c>
      <c r="F28" s="23">
        <f t="shared" si="2"/>
        <v>187.4399999999996</v>
      </c>
      <c r="G28" s="24">
        <f t="shared" si="3"/>
        <v>4.3590697674418512E-2</v>
      </c>
      <c r="H28" s="4">
        <f>+'Precept - forecast'!K28</f>
        <v>0</v>
      </c>
    </row>
    <row r="29" spans="1:8" x14ac:dyDescent="0.35">
      <c r="A29" t="s">
        <v>124</v>
      </c>
      <c r="B29" t="s">
        <v>124</v>
      </c>
      <c r="C29" s="4">
        <v>500</v>
      </c>
      <c r="D29" s="22">
        <f t="shared" si="1"/>
        <v>500</v>
      </c>
      <c r="E29" s="23">
        <f>SUMIFS(Cashbook!$E$6:$E$225,Cashbook!$A$6:$A$225,"&gt;="&amp;'Precept - budget YTD'!$D$6,Cashbook!$A$6:$A$225,"&lt;="&amp;'Precept - budget YTD'!$E$6,Cashbook!$J$6:$J$225,'Precept - budget YTD'!$A29)</f>
        <v>0</v>
      </c>
      <c r="F29" s="23">
        <f t="shared" si="2"/>
        <v>500</v>
      </c>
      <c r="G29" s="24" t="str">
        <f t="shared" si="3"/>
        <v/>
      </c>
      <c r="H29" s="4" t="str">
        <f>+'Precept - forecast'!K29</f>
        <v>Reserves</v>
      </c>
    </row>
    <row r="30" spans="1:8" x14ac:dyDescent="0.35">
      <c r="A30" t="s">
        <v>135</v>
      </c>
      <c r="B30" t="s">
        <v>125</v>
      </c>
      <c r="C30" s="4">
        <v>500</v>
      </c>
      <c r="D30" s="22">
        <f t="shared" si="1"/>
        <v>500</v>
      </c>
      <c r="E30" s="23">
        <f>SUMIFS(Cashbook!$E$6:$E$225,Cashbook!$A$6:$A$225,"&gt;="&amp;'Precept - budget YTD'!$D$6,Cashbook!$A$6:$A$225,"&lt;="&amp;'Precept - budget YTD'!$E$6,Cashbook!$J$6:$J$225,'Precept - budget YTD'!$A30)</f>
        <v>0</v>
      </c>
      <c r="F30" s="23">
        <f t="shared" si="2"/>
        <v>500</v>
      </c>
      <c r="G30" s="24" t="str">
        <f t="shared" si="3"/>
        <v/>
      </c>
      <c r="H30" s="4" t="str">
        <f>+'Precept - forecast'!K30</f>
        <v>As spent</v>
      </c>
    </row>
    <row r="31" spans="1:8" ht="15" thickBot="1" x14ac:dyDescent="0.4">
      <c r="A31" t="s">
        <v>126</v>
      </c>
      <c r="C31" s="14">
        <f>SUM(C10:C30)</f>
        <v>34200</v>
      </c>
      <c r="D31" s="25">
        <f t="shared" ref="D31:E31" si="4">SUM(D10:D30)</f>
        <v>34200</v>
      </c>
      <c r="E31" s="26">
        <f t="shared" si="4"/>
        <v>43932.969999999994</v>
      </c>
      <c r="F31" s="26">
        <f t="shared" ref="F31" si="5">D31-E31</f>
        <v>-9732.9699999999939</v>
      </c>
      <c r="G31" s="24">
        <f t="shared" ref="G31" si="6">IF(E31=0,"",+F31/D31)</f>
        <v>-0.28458976608187114</v>
      </c>
    </row>
    <row r="32" spans="1:8" ht="15.5" thickTop="1" thickBot="1" x14ac:dyDescent="0.4">
      <c r="C32" s="4"/>
      <c r="D32" s="28"/>
      <c r="E32" s="29"/>
      <c r="F32" s="29"/>
      <c r="G32" s="30"/>
    </row>
    <row r="33" spans="1:5" x14ac:dyDescent="0.35">
      <c r="C33" s="4"/>
    </row>
    <row r="34" spans="1:5" x14ac:dyDescent="0.35">
      <c r="A34" t="s">
        <v>175</v>
      </c>
      <c r="C34" s="4"/>
      <c r="E34" s="23">
        <f>SUMIFS(Cashbook!$E$6:$E$225,Cashbook!$A$6:$A$225,"&gt;="&amp;'Precept - budget YTD'!$D$6,Cashbook!$A$6:$A$225,"&lt;="&amp;'Precept - budget YTD'!$E$6,Cashbook!$J$6:$J$225,'Precept - budget YTD'!$A34)</f>
        <v>3894.5</v>
      </c>
    </row>
    <row r="35" spans="1:5" x14ac:dyDescent="0.35">
      <c r="A35" t="s">
        <v>182</v>
      </c>
      <c r="E35" s="23">
        <f>SUMIFS(Cashbook!$E$6:$E$225,Cashbook!$A$6:$A$225,"&gt;="&amp;'Precept - budget YTD'!$D$6,Cashbook!$A$6:$A$225,"&lt;="&amp;'Precept - budget YTD'!$E$6,Cashbook!$J$6:$J$225,'Precept - budget YTD'!$A35)</f>
        <v>473.99</v>
      </c>
    </row>
    <row r="36" spans="1:5" x14ac:dyDescent="0.35">
      <c r="A36" t="s">
        <v>185</v>
      </c>
      <c r="E36" s="23">
        <f>SUMIFS(Cashbook!$E$6:$E$225,Cashbook!$A$6:$A$225,"&gt;="&amp;'Precept - budget YTD'!$D$6,Cashbook!$A$6:$A$225,"&lt;="&amp;'Precept - budget YTD'!$E$6,Cashbook!$J$6:$J$225,'Precept - budget YTD'!$A36)</f>
        <v>1120.06</v>
      </c>
    </row>
    <row r="37" spans="1:5" ht="15" thickBot="1" x14ac:dyDescent="0.4">
      <c r="A37" t="s">
        <v>360</v>
      </c>
      <c r="E37" s="103">
        <f>SUM(E31:E36)</f>
        <v>49421.51999999999</v>
      </c>
    </row>
    <row r="38" spans="1:5" x14ac:dyDescent="0.35">
      <c r="E38" s="5">
        <f>E37-Cashbook!E106</f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B02AA9-C52A-43F6-A96F-9ABCA13F5016}">
          <x14:formula1>
            <xm:f>Labels!$A$10:$A$37</xm:f>
          </x14:formula1>
          <xm:sqref>A10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B92F-CE49-4CAB-A365-E57F3A363490}">
  <dimension ref="A1:Q133"/>
  <sheetViews>
    <sheetView tabSelected="1" topLeftCell="D1" workbookViewId="0">
      <selection activeCell="J9" sqref="J9"/>
    </sheetView>
  </sheetViews>
  <sheetFormatPr defaultRowHeight="14.5" x14ac:dyDescent="0.35"/>
  <cols>
    <col min="1" max="1" width="12.54296875" customWidth="1"/>
    <col min="2" max="2" width="26.1796875" bestFit="1" customWidth="1"/>
    <col min="3" max="3" width="35.1796875" customWidth="1"/>
    <col min="4" max="4" width="7.1796875" customWidth="1"/>
    <col min="5" max="7" width="12.54296875" customWidth="1"/>
    <col min="8" max="8" width="12.54296875" style="83" customWidth="1"/>
    <col min="9" max="9" width="12.54296875" customWidth="1"/>
    <col min="10" max="10" width="21.453125" customWidth="1"/>
    <col min="11" max="11" width="10.1796875" style="4" bestFit="1" customWidth="1"/>
    <col min="12" max="13" width="12.54296875" bestFit="1" customWidth="1"/>
    <col min="14" max="14" width="10.1796875" bestFit="1" customWidth="1"/>
    <col min="15" max="15" width="11.1796875" bestFit="1" customWidth="1"/>
  </cols>
  <sheetData>
    <row r="1" spans="1:17" x14ac:dyDescent="0.35">
      <c r="A1" t="s">
        <v>0</v>
      </c>
    </row>
    <row r="2" spans="1:17" x14ac:dyDescent="0.35">
      <c r="A2" t="s">
        <v>1</v>
      </c>
    </row>
    <row r="3" spans="1:17" x14ac:dyDescent="0.35">
      <c r="A3" t="s">
        <v>2</v>
      </c>
      <c r="B3" s="7">
        <v>46117</v>
      </c>
    </row>
    <row r="5" spans="1:17" s="1" customFormat="1" x14ac:dyDescent="0.3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84" t="s">
        <v>93</v>
      </c>
      <c r="I5" s="1" t="s">
        <v>10</v>
      </c>
      <c r="J5" s="142" t="s">
        <v>11</v>
      </c>
      <c r="K5" s="13" t="s">
        <v>12</v>
      </c>
      <c r="L5"/>
      <c r="Q5"/>
    </row>
    <row r="6" spans="1:17" x14ac:dyDescent="0.35">
      <c r="A6" s="2">
        <v>45753</v>
      </c>
      <c r="C6" t="s">
        <v>13</v>
      </c>
      <c r="I6" s="3">
        <v>50191.83</v>
      </c>
      <c r="J6" s="143"/>
      <c r="K6" s="4" t="s">
        <v>95</v>
      </c>
      <c r="L6" t="e">
        <f>VLOOKUP(J6,'Precept - forecast'!$A$10:$A$30,1,0)</f>
        <v>#N/A</v>
      </c>
    </row>
    <row r="7" spans="1:17" x14ac:dyDescent="0.35">
      <c r="A7" s="2">
        <v>45754</v>
      </c>
      <c r="B7" t="s">
        <v>14</v>
      </c>
      <c r="C7" t="s">
        <v>15</v>
      </c>
      <c r="D7" t="s">
        <v>16</v>
      </c>
      <c r="E7" s="4">
        <v>16.149999999999999</v>
      </c>
      <c r="F7" s="4">
        <v>0</v>
      </c>
      <c r="G7" s="89">
        <f>SUM(E7:F7)</f>
        <v>16.149999999999999</v>
      </c>
      <c r="I7" s="5">
        <f>+I6-G7+H7</f>
        <v>50175.68</v>
      </c>
      <c r="J7" s="143" t="s">
        <v>128</v>
      </c>
      <c r="K7" s="4" t="s">
        <v>95</v>
      </c>
    </row>
    <row r="8" spans="1:17" x14ac:dyDescent="0.35">
      <c r="A8" s="2">
        <v>45762</v>
      </c>
      <c r="B8" t="s">
        <v>91</v>
      </c>
      <c r="C8" t="s">
        <v>92</v>
      </c>
      <c r="E8" s="4"/>
      <c r="F8" s="4"/>
      <c r="G8" s="89">
        <f t="shared" ref="G8:G43" si="0">SUM(E8:F8)</f>
        <v>0</v>
      </c>
      <c r="H8" s="83">
        <v>17100</v>
      </c>
      <c r="I8" s="5">
        <f t="shared" ref="I8:I49" si="1">+I7-G8+H8</f>
        <v>67275.679999999993</v>
      </c>
      <c r="J8" s="143" t="s">
        <v>104</v>
      </c>
      <c r="K8" s="4" t="s">
        <v>95</v>
      </c>
    </row>
    <row r="9" spans="1:17" x14ac:dyDescent="0.35">
      <c r="A9" s="2">
        <v>45784</v>
      </c>
      <c r="B9" t="s">
        <v>14</v>
      </c>
      <c r="C9" t="s">
        <v>15</v>
      </c>
      <c r="D9" t="s">
        <v>16</v>
      </c>
      <c r="E9" s="4">
        <v>16.149999999999999</v>
      </c>
      <c r="F9" s="4">
        <v>0</v>
      </c>
      <c r="G9" s="89">
        <f t="shared" si="0"/>
        <v>16.149999999999999</v>
      </c>
      <c r="I9" s="5">
        <f t="shared" si="1"/>
        <v>67259.53</v>
      </c>
      <c r="J9" s="143" t="s">
        <v>128</v>
      </c>
      <c r="K9" s="4" t="s">
        <v>95</v>
      </c>
    </row>
    <row r="10" spans="1:17" x14ac:dyDescent="0.35">
      <c r="A10" s="2">
        <v>45786</v>
      </c>
      <c r="B10" t="s">
        <v>17</v>
      </c>
      <c r="C10" t="s">
        <v>18</v>
      </c>
      <c r="D10" t="s">
        <v>16</v>
      </c>
      <c r="E10" s="4">
        <v>1414.93</v>
      </c>
      <c r="F10" s="4">
        <v>0</v>
      </c>
      <c r="G10" s="89">
        <f t="shared" si="0"/>
        <v>1414.93</v>
      </c>
      <c r="I10" s="5">
        <f t="shared" si="1"/>
        <v>65844.600000000006</v>
      </c>
      <c r="J10" s="143" t="s">
        <v>134</v>
      </c>
      <c r="K10" s="4" t="s">
        <v>95</v>
      </c>
    </row>
    <row r="11" spans="1:17" x14ac:dyDescent="0.35">
      <c r="A11" s="2">
        <v>45792</v>
      </c>
      <c r="B11" t="s">
        <v>19</v>
      </c>
      <c r="C11" t="s">
        <v>20</v>
      </c>
      <c r="D11" t="s">
        <v>21</v>
      </c>
      <c r="E11" s="4">
        <v>675.08999999999992</v>
      </c>
      <c r="F11" s="4">
        <v>0</v>
      </c>
      <c r="G11" s="89">
        <f t="shared" si="0"/>
        <v>675.08999999999992</v>
      </c>
      <c r="I11" s="5">
        <f t="shared" si="1"/>
        <v>65169.510000000009</v>
      </c>
      <c r="J11" s="143" t="s">
        <v>154</v>
      </c>
      <c r="K11" s="4" t="s">
        <v>95</v>
      </c>
    </row>
    <row r="12" spans="1:17" x14ac:dyDescent="0.35">
      <c r="A12" s="2">
        <v>45792</v>
      </c>
      <c r="B12" t="s">
        <v>22</v>
      </c>
      <c r="C12" t="s">
        <v>23</v>
      </c>
      <c r="D12" t="s">
        <v>21</v>
      </c>
      <c r="E12" s="4">
        <v>58.33</v>
      </c>
      <c r="F12" s="4">
        <v>0</v>
      </c>
      <c r="G12" s="89">
        <f t="shared" si="0"/>
        <v>58.33</v>
      </c>
      <c r="I12" s="5">
        <f t="shared" si="1"/>
        <v>65111.180000000008</v>
      </c>
      <c r="J12" s="143" t="s">
        <v>154</v>
      </c>
      <c r="K12" s="4" t="s">
        <v>95</v>
      </c>
    </row>
    <row r="13" spans="1:17" x14ac:dyDescent="0.35">
      <c r="A13" s="2">
        <v>45792</v>
      </c>
      <c r="B13" t="s">
        <v>24</v>
      </c>
      <c r="C13" t="s">
        <v>25</v>
      </c>
      <c r="D13" t="s">
        <v>26</v>
      </c>
      <c r="E13" s="4">
        <v>39.68</v>
      </c>
      <c r="F13" s="4">
        <v>0</v>
      </c>
      <c r="G13" s="89">
        <f t="shared" si="0"/>
        <v>39.68</v>
      </c>
      <c r="I13" s="5">
        <f t="shared" si="1"/>
        <v>65071.500000000007</v>
      </c>
      <c r="J13" s="143" t="s">
        <v>154</v>
      </c>
      <c r="K13" s="4" t="s">
        <v>95</v>
      </c>
    </row>
    <row r="14" spans="1:17" x14ac:dyDescent="0.35">
      <c r="A14" s="2">
        <v>45792</v>
      </c>
      <c r="B14" t="s">
        <v>27</v>
      </c>
      <c r="C14" t="s">
        <v>28</v>
      </c>
      <c r="D14" t="s">
        <v>29</v>
      </c>
      <c r="E14" s="4">
        <v>314.25</v>
      </c>
      <c r="F14" s="4">
        <v>0</v>
      </c>
      <c r="G14" s="89">
        <f t="shared" si="0"/>
        <v>314.25</v>
      </c>
      <c r="I14" s="5">
        <f t="shared" si="1"/>
        <v>64757.250000000007</v>
      </c>
      <c r="J14" s="143" t="s">
        <v>113</v>
      </c>
      <c r="K14" s="4" t="s">
        <v>95</v>
      </c>
    </row>
    <row r="15" spans="1:17" x14ac:dyDescent="0.35">
      <c r="A15" s="2">
        <v>45792</v>
      </c>
      <c r="B15" t="s">
        <v>30</v>
      </c>
      <c r="C15" t="s">
        <v>31</v>
      </c>
      <c r="D15" t="s">
        <v>32</v>
      </c>
      <c r="E15" s="4">
        <v>146.25</v>
      </c>
      <c r="F15" s="130">
        <v>29.25</v>
      </c>
      <c r="G15" s="89">
        <f t="shared" si="0"/>
        <v>175.5</v>
      </c>
      <c r="I15" s="5">
        <f t="shared" si="1"/>
        <v>64581.750000000007</v>
      </c>
      <c r="J15" s="143" t="s">
        <v>136</v>
      </c>
      <c r="K15" s="4" t="s">
        <v>95</v>
      </c>
    </row>
    <row r="16" spans="1:17" x14ac:dyDescent="0.35">
      <c r="A16" s="2">
        <v>45792</v>
      </c>
      <c r="B16" t="s">
        <v>33</v>
      </c>
      <c r="C16" t="s">
        <v>34</v>
      </c>
      <c r="D16" t="s">
        <v>35</v>
      </c>
      <c r="E16" s="4">
        <v>130</v>
      </c>
      <c r="F16" s="130">
        <v>26</v>
      </c>
      <c r="G16" s="89">
        <f t="shared" si="0"/>
        <v>156</v>
      </c>
      <c r="I16" s="5">
        <f t="shared" si="1"/>
        <v>64425.750000000007</v>
      </c>
      <c r="J16" s="143" t="s">
        <v>127</v>
      </c>
      <c r="K16" s="4" t="s">
        <v>95</v>
      </c>
    </row>
    <row r="17" spans="1:11" x14ac:dyDescent="0.35">
      <c r="A17" s="2">
        <v>45792</v>
      </c>
      <c r="B17" t="s">
        <v>36</v>
      </c>
      <c r="C17" t="s">
        <v>37</v>
      </c>
      <c r="D17" t="s">
        <v>38</v>
      </c>
      <c r="E17" s="4">
        <v>780</v>
      </c>
      <c r="F17" s="130">
        <v>156</v>
      </c>
      <c r="G17" s="89">
        <f t="shared" si="0"/>
        <v>936</v>
      </c>
      <c r="I17" s="5">
        <f t="shared" si="1"/>
        <v>63489.750000000007</v>
      </c>
      <c r="J17" s="143" t="s">
        <v>185</v>
      </c>
      <c r="K17" s="4" t="s">
        <v>95</v>
      </c>
    </row>
    <row r="18" spans="1:11" x14ac:dyDescent="0.35">
      <c r="A18" s="2">
        <v>45792</v>
      </c>
      <c r="B18" t="s">
        <v>39</v>
      </c>
      <c r="C18" t="s">
        <v>40</v>
      </c>
      <c r="D18" t="s">
        <v>41</v>
      </c>
      <c r="E18" s="4">
        <v>250</v>
      </c>
      <c r="F18" s="4">
        <v>0</v>
      </c>
      <c r="G18" s="89">
        <f t="shared" si="0"/>
        <v>250</v>
      </c>
      <c r="I18" s="5">
        <f t="shared" si="1"/>
        <v>63239.750000000007</v>
      </c>
      <c r="J18" s="143" t="s">
        <v>132</v>
      </c>
      <c r="K18" s="4" t="s">
        <v>95</v>
      </c>
    </row>
    <row r="19" spans="1:11" x14ac:dyDescent="0.35">
      <c r="A19" s="2">
        <v>45792</v>
      </c>
      <c r="B19" t="s">
        <v>42</v>
      </c>
      <c r="C19" t="s">
        <v>43</v>
      </c>
      <c r="D19" t="s">
        <v>44</v>
      </c>
      <c r="E19" s="4">
        <v>175</v>
      </c>
      <c r="F19" s="4">
        <v>0</v>
      </c>
      <c r="G19" s="89">
        <f t="shared" si="0"/>
        <v>175</v>
      </c>
      <c r="I19" s="5">
        <f t="shared" si="1"/>
        <v>63064.750000000007</v>
      </c>
      <c r="J19" s="143" t="s">
        <v>130</v>
      </c>
      <c r="K19" s="4" t="s">
        <v>95</v>
      </c>
    </row>
    <row r="20" spans="1:11" x14ac:dyDescent="0.35">
      <c r="A20" s="2">
        <v>45813</v>
      </c>
      <c r="B20" t="s">
        <v>14</v>
      </c>
      <c r="C20" t="s">
        <v>15</v>
      </c>
      <c r="D20" t="s">
        <v>16</v>
      </c>
      <c r="E20" s="4">
        <v>16.149999999999999</v>
      </c>
      <c r="F20" s="4">
        <v>0</v>
      </c>
      <c r="G20" s="89">
        <f t="shared" si="0"/>
        <v>16.149999999999999</v>
      </c>
      <c r="I20" s="5">
        <f t="shared" si="1"/>
        <v>63048.600000000006</v>
      </c>
      <c r="J20" s="143" t="s">
        <v>128</v>
      </c>
      <c r="K20" s="4" t="s">
        <v>95</v>
      </c>
    </row>
    <row r="21" spans="1:11" x14ac:dyDescent="0.35">
      <c r="A21" s="2">
        <v>45817</v>
      </c>
      <c r="B21" t="s">
        <v>45</v>
      </c>
      <c r="C21" t="s">
        <v>46</v>
      </c>
      <c r="D21" t="s">
        <v>47</v>
      </c>
      <c r="E21" s="4">
        <v>675.09</v>
      </c>
      <c r="F21" s="4">
        <v>0</v>
      </c>
      <c r="G21" s="89">
        <f t="shared" si="0"/>
        <v>675.09</v>
      </c>
      <c r="I21" s="5">
        <f t="shared" si="1"/>
        <v>62373.510000000009</v>
      </c>
      <c r="J21" s="143" t="s">
        <v>154</v>
      </c>
      <c r="K21" s="4" t="s">
        <v>95</v>
      </c>
    </row>
    <row r="22" spans="1:11" x14ac:dyDescent="0.35">
      <c r="A22" s="2">
        <v>45817</v>
      </c>
      <c r="B22" t="s">
        <v>22</v>
      </c>
      <c r="C22" t="s">
        <v>48</v>
      </c>
      <c r="D22" t="s">
        <v>47</v>
      </c>
      <c r="E22" s="4">
        <v>58.33</v>
      </c>
      <c r="F22" s="4">
        <v>0</v>
      </c>
      <c r="G22" s="89">
        <f t="shared" si="0"/>
        <v>58.33</v>
      </c>
      <c r="I22" s="5">
        <f t="shared" si="1"/>
        <v>62315.180000000008</v>
      </c>
      <c r="J22" s="143" t="s">
        <v>154</v>
      </c>
      <c r="K22" s="4" t="s">
        <v>95</v>
      </c>
    </row>
    <row r="23" spans="1:11" x14ac:dyDescent="0.35">
      <c r="A23" s="2">
        <v>45817</v>
      </c>
      <c r="B23" t="s">
        <v>24</v>
      </c>
      <c r="C23" t="s">
        <v>49</v>
      </c>
      <c r="D23" t="s">
        <v>50</v>
      </c>
      <c r="E23" s="4">
        <v>39.68</v>
      </c>
      <c r="F23" s="4">
        <v>0</v>
      </c>
      <c r="G23" s="89">
        <f t="shared" si="0"/>
        <v>39.68</v>
      </c>
      <c r="I23" s="5">
        <f t="shared" si="1"/>
        <v>62275.500000000007</v>
      </c>
      <c r="J23" s="143" t="s">
        <v>154</v>
      </c>
      <c r="K23" s="4" t="s">
        <v>95</v>
      </c>
    </row>
    <row r="24" spans="1:11" x14ac:dyDescent="0.35">
      <c r="A24" s="2">
        <v>45817</v>
      </c>
      <c r="B24" t="s">
        <v>51</v>
      </c>
      <c r="C24" t="s">
        <v>52</v>
      </c>
      <c r="D24" t="s">
        <v>53</v>
      </c>
      <c r="E24" s="4">
        <v>108</v>
      </c>
      <c r="F24" s="130">
        <v>21.6</v>
      </c>
      <c r="G24" s="89">
        <f t="shared" si="0"/>
        <v>129.6</v>
      </c>
      <c r="I24" s="5">
        <f t="shared" si="1"/>
        <v>62145.900000000009</v>
      </c>
      <c r="J24" s="143" t="s">
        <v>132</v>
      </c>
      <c r="K24" s="4" t="s">
        <v>95</v>
      </c>
    </row>
    <row r="25" spans="1:11" x14ac:dyDescent="0.35">
      <c r="A25" s="2">
        <v>45818</v>
      </c>
      <c r="B25" t="s">
        <v>24</v>
      </c>
      <c r="C25" t="s">
        <v>94</v>
      </c>
      <c r="E25" s="4"/>
      <c r="F25" s="4"/>
      <c r="G25" s="89">
        <f t="shared" si="0"/>
        <v>0</v>
      </c>
      <c r="H25" s="83">
        <v>730.27</v>
      </c>
      <c r="I25" s="5">
        <f t="shared" si="1"/>
        <v>62876.170000000006</v>
      </c>
      <c r="J25" s="143" t="s">
        <v>103</v>
      </c>
      <c r="K25" s="4" t="s">
        <v>95</v>
      </c>
    </row>
    <row r="26" spans="1:11" x14ac:dyDescent="0.35">
      <c r="A26" s="2">
        <v>45826</v>
      </c>
      <c r="B26" t="s">
        <v>54</v>
      </c>
      <c r="C26" t="s">
        <v>55</v>
      </c>
      <c r="D26" t="s">
        <v>56</v>
      </c>
      <c r="E26" s="4">
        <v>772.83</v>
      </c>
      <c r="F26" s="4">
        <v>0</v>
      </c>
      <c r="G26" s="89">
        <f t="shared" si="0"/>
        <v>772.83</v>
      </c>
      <c r="I26" s="5">
        <f t="shared" si="1"/>
        <v>62103.340000000004</v>
      </c>
      <c r="J26" s="143" t="s">
        <v>96</v>
      </c>
      <c r="K26" s="4" t="s">
        <v>95</v>
      </c>
    </row>
    <row r="27" spans="1:11" x14ac:dyDescent="0.35">
      <c r="A27" s="2">
        <v>45838</v>
      </c>
      <c r="B27" t="s">
        <v>17</v>
      </c>
      <c r="C27" t="s">
        <v>18</v>
      </c>
      <c r="D27" t="s">
        <v>16</v>
      </c>
      <c r="E27" s="4">
        <v>654.95000000000005</v>
      </c>
      <c r="F27" s="4">
        <v>0</v>
      </c>
      <c r="G27" s="89">
        <f t="shared" si="0"/>
        <v>654.95000000000005</v>
      </c>
      <c r="I27" s="5">
        <f t="shared" si="1"/>
        <v>61448.390000000007</v>
      </c>
      <c r="J27" s="143" t="s">
        <v>134</v>
      </c>
      <c r="K27" s="4" t="s">
        <v>95</v>
      </c>
    </row>
    <row r="28" spans="1:11" x14ac:dyDescent="0.35">
      <c r="A28" s="2">
        <v>45845</v>
      </c>
      <c r="B28" t="s">
        <v>14</v>
      </c>
      <c r="C28" t="s">
        <v>15</v>
      </c>
      <c r="D28" t="s">
        <v>16</v>
      </c>
      <c r="E28" s="4">
        <v>16.149999999999999</v>
      </c>
      <c r="F28" s="4">
        <v>0</v>
      </c>
      <c r="G28" s="89">
        <f t="shared" si="0"/>
        <v>16.149999999999999</v>
      </c>
      <c r="I28" s="5">
        <f t="shared" si="1"/>
        <v>61432.240000000005</v>
      </c>
      <c r="J28" s="143" t="s">
        <v>128</v>
      </c>
      <c r="K28" s="4" t="s">
        <v>95</v>
      </c>
    </row>
    <row r="29" spans="1:11" x14ac:dyDescent="0.35">
      <c r="A29" s="2">
        <v>45848</v>
      </c>
      <c r="B29" t="s">
        <v>57</v>
      </c>
      <c r="C29" t="s">
        <v>58</v>
      </c>
      <c r="D29" t="s">
        <v>59</v>
      </c>
      <c r="E29" s="4">
        <v>675.09</v>
      </c>
      <c r="F29" s="4">
        <v>0</v>
      </c>
      <c r="G29" s="89">
        <f t="shared" si="0"/>
        <v>675.09</v>
      </c>
      <c r="I29" s="5">
        <f t="shared" si="1"/>
        <v>60757.150000000009</v>
      </c>
      <c r="J29" s="143" t="s">
        <v>154</v>
      </c>
      <c r="K29" s="4" t="s">
        <v>95</v>
      </c>
    </row>
    <row r="30" spans="1:11" x14ac:dyDescent="0.35">
      <c r="A30" s="2">
        <v>45848</v>
      </c>
      <c r="B30" t="s">
        <v>60</v>
      </c>
      <c r="C30" t="s">
        <v>61</v>
      </c>
      <c r="D30" t="s">
        <v>59</v>
      </c>
      <c r="E30" s="4">
        <v>58.33</v>
      </c>
      <c r="F30" s="4">
        <v>0</v>
      </c>
      <c r="G30" s="89">
        <f t="shared" si="0"/>
        <v>58.33</v>
      </c>
      <c r="I30" s="5">
        <f t="shared" si="1"/>
        <v>60698.820000000007</v>
      </c>
      <c r="J30" s="143" t="s">
        <v>154</v>
      </c>
      <c r="K30" s="4" t="s">
        <v>95</v>
      </c>
    </row>
    <row r="31" spans="1:11" x14ac:dyDescent="0.35">
      <c r="A31" s="2">
        <v>45848</v>
      </c>
      <c r="B31" t="s">
        <v>24</v>
      </c>
      <c r="C31" t="s">
        <v>62</v>
      </c>
      <c r="D31" t="s">
        <v>63</v>
      </c>
      <c r="E31" s="4">
        <v>39.68</v>
      </c>
      <c r="F31" s="4">
        <v>0</v>
      </c>
      <c r="G31" s="89">
        <f t="shared" si="0"/>
        <v>39.68</v>
      </c>
      <c r="I31" s="5">
        <f t="shared" si="1"/>
        <v>60659.140000000007</v>
      </c>
      <c r="J31" s="143" t="s">
        <v>154</v>
      </c>
      <c r="K31" s="4" t="s">
        <v>95</v>
      </c>
    </row>
    <row r="32" spans="1:11" x14ac:dyDescent="0.35">
      <c r="A32" s="2">
        <v>45848</v>
      </c>
      <c r="B32" t="s">
        <v>39</v>
      </c>
      <c r="C32" t="s">
        <v>40</v>
      </c>
      <c r="D32" t="s">
        <v>64</v>
      </c>
      <c r="E32" s="4">
        <v>157</v>
      </c>
      <c r="F32" s="4">
        <v>0</v>
      </c>
      <c r="G32" s="89">
        <f t="shared" si="0"/>
        <v>157</v>
      </c>
      <c r="I32" s="5">
        <f t="shared" si="1"/>
        <v>60502.140000000007</v>
      </c>
      <c r="J32" s="143" t="s">
        <v>132</v>
      </c>
      <c r="K32" s="4" t="s">
        <v>95</v>
      </c>
    </row>
    <row r="33" spans="1:11" x14ac:dyDescent="0.35">
      <c r="A33" s="2">
        <v>45848</v>
      </c>
      <c r="B33" t="s">
        <v>65</v>
      </c>
      <c r="C33" t="s">
        <v>66</v>
      </c>
      <c r="D33" t="s">
        <v>67</v>
      </c>
      <c r="E33" s="4">
        <v>12.16</v>
      </c>
      <c r="F33" s="130">
        <v>2.4300000000000002</v>
      </c>
      <c r="G33" s="89">
        <f t="shared" si="0"/>
        <v>14.59</v>
      </c>
      <c r="I33" s="5">
        <f t="shared" si="1"/>
        <v>60487.55000000001</v>
      </c>
      <c r="J33" s="143" t="s">
        <v>129</v>
      </c>
      <c r="K33" s="4" t="s">
        <v>95</v>
      </c>
    </row>
    <row r="34" spans="1:11" x14ac:dyDescent="0.35">
      <c r="A34" s="2">
        <v>45848</v>
      </c>
      <c r="B34" t="s">
        <v>68</v>
      </c>
      <c r="C34" t="s">
        <v>69</v>
      </c>
      <c r="D34" t="s">
        <v>70</v>
      </c>
      <c r="E34" s="4">
        <v>2750</v>
      </c>
      <c r="F34" s="4">
        <v>0</v>
      </c>
      <c r="G34" s="89">
        <f t="shared" si="0"/>
        <v>2750</v>
      </c>
      <c r="I34" s="5">
        <f t="shared" si="1"/>
        <v>57737.55000000001</v>
      </c>
      <c r="J34" s="143" t="s">
        <v>116</v>
      </c>
      <c r="K34" s="4" t="s">
        <v>95</v>
      </c>
    </row>
    <row r="35" spans="1:11" x14ac:dyDescent="0.35">
      <c r="A35" s="2">
        <v>45848</v>
      </c>
      <c r="B35" t="s">
        <v>68</v>
      </c>
      <c r="C35" t="s">
        <v>71</v>
      </c>
      <c r="D35" t="s">
        <v>72</v>
      </c>
      <c r="E35" s="4">
        <v>500</v>
      </c>
      <c r="F35" s="4">
        <v>0</v>
      </c>
      <c r="G35" s="89">
        <f t="shared" si="0"/>
        <v>500</v>
      </c>
      <c r="I35" s="5">
        <f t="shared" si="1"/>
        <v>57237.55000000001</v>
      </c>
      <c r="J35" s="143" t="s">
        <v>116</v>
      </c>
      <c r="K35" s="4" t="s">
        <v>95</v>
      </c>
    </row>
    <row r="36" spans="1:11" x14ac:dyDescent="0.35">
      <c r="A36" s="2">
        <v>45848</v>
      </c>
      <c r="B36" t="s">
        <v>73</v>
      </c>
      <c r="C36" t="s">
        <v>74</v>
      </c>
      <c r="D36" t="s">
        <v>75</v>
      </c>
      <c r="E36" s="4">
        <v>200</v>
      </c>
      <c r="F36" s="4">
        <v>0</v>
      </c>
      <c r="G36" s="89">
        <f t="shared" si="0"/>
        <v>200</v>
      </c>
      <c r="I36" s="5">
        <f t="shared" si="1"/>
        <v>57037.55000000001</v>
      </c>
      <c r="J36" s="143" t="s">
        <v>120</v>
      </c>
      <c r="K36" s="4" t="s">
        <v>95</v>
      </c>
    </row>
    <row r="37" spans="1:11" x14ac:dyDescent="0.35">
      <c r="A37" s="2">
        <v>45848</v>
      </c>
      <c r="B37" t="s">
        <v>76</v>
      </c>
      <c r="C37" t="s">
        <v>74</v>
      </c>
      <c r="D37" t="s">
        <v>77</v>
      </c>
      <c r="E37" s="4">
        <v>1000</v>
      </c>
      <c r="F37" s="4">
        <v>0</v>
      </c>
      <c r="G37" s="89">
        <f t="shared" si="0"/>
        <v>1000</v>
      </c>
      <c r="I37" s="5">
        <f t="shared" si="1"/>
        <v>56037.55000000001</v>
      </c>
      <c r="J37" s="143" t="s">
        <v>120</v>
      </c>
      <c r="K37" s="4" t="s">
        <v>95</v>
      </c>
    </row>
    <row r="38" spans="1:11" x14ac:dyDescent="0.35">
      <c r="A38" s="2">
        <v>45848</v>
      </c>
      <c r="B38" t="s">
        <v>78</v>
      </c>
      <c r="C38" t="s">
        <v>79</v>
      </c>
      <c r="D38" t="s">
        <v>80</v>
      </c>
      <c r="E38" s="4">
        <v>139</v>
      </c>
      <c r="F38" s="4">
        <v>0</v>
      </c>
      <c r="G38" s="89">
        <f t="shared" si="0"/>
        <v>139</v>
      </c>
      <c r="I38" s="5">
        <f t="shared" si="1"/>
        <v>55898.55000000001</v>
      </c>
      <c r="J38" s="143" t="s">
        <v>112</v>
      </c>
      <c r="K38" s="4" t="s">
        <v>95</v>
      </c>
    </row>
    <row r="39" spans="1:11" x14ac:dyDescent="0.35">
      <c r="A39" s="2">
        <v>45848</v>
      </c>
      <c r="B39" t="s">
        <v>81</v>
      </c>
      <c r="C39" t="s">
        <v>82</v>
      </c>
      <c r="D39" t="s">
        <v>83</v>
      </c>
      <c r="E39" s="4">
        <v>175</v>
      </c>
      <c r="F39" s="4">
        <v>35</v>
      </c>
      <c r="G39" s="89">
        <f t="shared" si="0"/>
        <v>210</v>
      </c>
      <c r="I39" s="5">
        <f t="shared" si="1"/>
        <v>55688.55000000001</v>
      </c>
      <c r="J39" s="143" t="s">
        <v>129</v>
      </c>
      <c r="K39" s="4" t="s">
        <v>95</v>
      </c>
    </row>
    <row r="40" spans="1:11" x14ac:dyDescent="0.35">
      <c r="A40" s="2">
        <v>45848</v>
      </c>
      <c r="B40" t="s">
        <v>33</v>
      </c>
      <c r="C40" t="s">
        <v>84</v>
      </c>
      <c r="D40" t="s">
        <v>85</v>
      </c>
      <c r="E40" s="4">
        <v>65</v>
      </c>
      <c r="F40" s="4">
        <v>13</v>
      </c>
      <c r="G40" s="89">
        <f t="shared" si="0"/>
        <v>78</v>
      </c>
      <c r="I40" s="5">
        <f t="shared" si="1"/>
        <v>55610.55000000001</v>
      </c>
      <c r="J40" s="143" t="s">
        <v>127</v>
      </c>
      <c r="K40" s="4" t="s">
        <v>95</v>
      </c>
    </row>
    <row r="41" spans="1:11" x14ac:dyDescent="0.35">
      <c r="A41" s="2">
        <v>45869</v>
      </c>
      <c r="B41" t="s">
        <v>86</v>
      </c>
      <c r="C41" t="s">
        <v>87</v>
      </c>
      <c r="D41" t="s">
        <v>88</v>
      </c>
      <c r="E41" s="4">
        <v>675.09</v>
      </c>
      <c r="F41" s="4">
        <v>0</v>
      </c>
      <c r="G41" s="89">
        <f t="shared" si="0"/>
        <v>675.09</v>
      </c>
      <c r="I41" s="5">
        <f t="shared" si="1"/>
        <v>54935.460000000014</v>
      </c>
      <c r="J41" s="143" t="s">
        <v>154</v>
      </c>
      <c r="K41" s="4" t="s">
        <v>95</v>
      </c>
    </row>
    <row r="42" spans="1:11" x14ac:dyDescent="0.35">
      <c r="A42" s="2">
        <v>45869</v>
      </c>
      <c r="B42" t="s">
        <v>60</v>
      </c>
      <c r="C42" t="s">
        <v>61</v>
      </c>
      <c r="D42" t="s">
        <v>88</v>
      </c>
      <c r="E42" s="4">
        <v>58.33</v>
      </c>
      <c r="F42" s="4">
        <v>0</v>
      </c>
      <c r="G42" s="89">
        <f t="shared" si="0"/>
        <v>58.33</v>
      </c>
      <c r="I42" s="5">
        <f t="shared" si="1"/>
        <v>54877.130000000012</v>
      </c>
      <c r="J42" s="143" t="s">
        <v>154</v>
      </c>
      <c r="K42" s="4" t="s">
        <v>95</v>
      </c>
    </row>
    <row r="43" spans="1:11" x14ac:dyDescent="0.35">
      <c r="A43" s="2">
        <v>45869</v>
      </c>
      <c r="B43" t="s">
        <v>24</v>
      </c>
      <c r="C43" t="s">
        <v>89</v>
      </c>
      <c r="D43" t="s">
        <v>90</v>
      </c>
      <c r="E43" s="4">
        <v>39.68</v>
      </c>
      <c r="F43" s="4">
        <v>0</v>
      </c>
      <c r="G43" s="89">
        <f t="shared" si="0"/>
        <v>39.68</v>
      </c>
      <c r="I43" s="5">
        <f t="shared" si="1"/>
        <v>54837.450000000012</v>
      </c>
      <c r="J43" s="143" t="s">
        <v>154</v>
      </c>
      <c r="K43" s="4" t="s">
        <v>95</v>
      </c>
    </row>
    <row r="44" spans="1:11" x14ac:dyDescent="0.35">
      <c r="A44" s="2">
        <v>45875</v>
      </c>
      <c r="B44" t="s">
        <v>14</v>
      </c>
      <c r="C44" t="s">
        <v>15</v>
      </c>
      <c r="E44" s="4">
        <v>16.149999999999999</v>
      </c>
      <c r="F44" s="4">
        <v>0</v>
      </c>
      <c r="G44" s="89">
        <f t="shared" ref="G44:G56" si="2">SUM(E44:F44)</f>
        <v>16.149999999999999</v>
      </c>
      <c r="I44" s="5">
        <f t="shared" si="1"/>
        <v>54821.30000000001</v>
      </c>
      <c r="J44" s="143" t="s">
        <v>154</v>
      </c>
      <c r="K44" s="4" t="s">
        <v>95</v>
      </c>
    </row>
    <row r="45" spans="1:11" x14ac:dyDescent="0.35">
      <c r="A45" s="2">
        <v>45905</v>
      </c>
      <c r="B45" t="s">
        <v>14</v>
      </c>
      <c r="C45" t="s">
        <v>15</v>
      </c>
      <c r="E45" s="4">
        <v>27.07</v>
      </c>
      <c r="F45" s="4">
        <v>0</v>
      </c>
      <c r="G45" s="89">
        <f t="shared" si="2"/>
        <v>27.07</v>
      </c>
      <c r="I45" s="5">
        <f t="shared" si="1"/>
        <v>54794.23000000001</v>
      </c>
      <c r="J45" s="143" t="s">
        <v>154</v>
      </c>
      <c r="K45" s="4" t="s">
        <v>95</v>
      </c>
    </row>
    <row r="46" spans="1:11" x14ac:dyDescent="0.35">
      <c r="A46" s="2">
        <v>45912</v>
      </c>
      <c r="B46" t="s">
        <v>91</v>
      </c>
      <c r="C46" t="s">
        <v>92</v>
      </c>
      <c r="E46" s="4"/>
      <c r="F46" s="4"/>
      <c r="G46" s="89">
        <f t="shared" si="2"/>
        <v>0</v>
      </c>
      <c r="H46" s="83">
        <v>17100</v>
      </c>
      <c r="I46" s="5">
        <f t="shared" si="1"/>
        <v>71894.23000000001</v>
      </c>
      <c r="J46" s="143" t="s">
        <v>104</v>
      </c>
      <c r="K46" s="4" t="s">
        <v>95</v>
      </c>
    </row>
    <row r="47" spans="1:11" x14ac:dyDescent="0.35">
      <c r="A47" s="2">
        <v>45915</v>
      </c>
      <c r="B47" t="s">
        <v>145</v>
      </c>
      <c r="C47" t="s">
        <v>146</v>
      </c>
      <c r="E47" s="4">
        <v>779.91</v>
      </c>
      <c r="F47" s="4">
        <v>0</v>
      </c>
      <c r="G47" s="89">
        <f t="shared" si="2"/>
        <v>779.91</v>
      </c>
      <c r="I47" s="5">
        <f t="shared" si="1"/>
        <v>71114.320000000007</v>
      </c>
      <c r="J47" s="143" t="s">
        <v>154</v>
      </c>
      <c r="K47" s="4" t="s">
        <v>95</v>
      </c>
    </row>
    <row r="48" spans="1:11" x14ac:dyDescent="0.35">
      <c r="A48" s="2">
        <v>45915</v>
      </c>
      <c r="B48" t="s">
        <v>145</v>
      </c>
      <c r="C48" t="s">
        <v>22</v>
      </c>
      <c r="E48" s="4">
        <v>58.33</v>
      </c>
      <c r="F48" s="4">
        <v>0</v>
      </c>
      <c r="G48" s="89">
        <f t="shared" si="2"/>
        <v>58.33</v>
      </c>
      <c r="I48" s="5">
        <f t="shared" si="1"/>
        <v>71055.990000000005</v>
      </c>
      <c r="J48" s="143" t="s">
        <v>154</v>
      </c>
      <c r="K48" s="4" t="s">
        <v>95</v>
      </c>
    </row>
    <row r="49" spans="1:11" x14ac:dyDescent="0.35">
      <c r="A49" s="2">
        <v>45915</v>
      </c>
      <c r="B49" t="s">
        <v>147</v>
      </c>
      <c r="C49" t="s">
        <v>148</v>
      </c>
      <c r="E49" s="4">
        <v>56.06</v>
      </c>
      <c r="F49" s="4">
        <v>0</v>
      </c>
      <c r="G49" s="89">
        <f t="shared" si="2"/>
        <v>56.06</v>
      </c>
      <c r="I49" s="5">
        <f t="shared" si="1"/>
        <v>70999.930000000008</v>
      </c>
      <c r="J49" s="143" t="s">
        <v>154</v>
      </c>
      <c r="K49" s="4" t="s">
        <v>95</v>
      </c>
    </row>
    <row r="50" spans="1:11" x14ac:dyDescent="0.35">
      <c r="A50" s="2">
        <v>45915</v>
      </c>
      <c r="B50" t="s">
        <v>98</v>
      </c>
      <c r="C50" t="s">
        <v>40</v>
      </c>
      <c r="E50" s="4">
        <v>37</v>
      </c>
      <c r="F50" s="4">
        <v>0</v>
      </c>
      <c r="G50" s="89">
        <f t="shared" si="2"/>
        <v>37</v>
      </c>
      <c r="I50" s="5">
        <f t="shared" ref="I50:I105" si="3">+I49-G50+H50</f>
        <v>70962.930000000008</v>
      </c>
      <c r="J50" s="143" t="s">
        <v>132</v>
      </c>
      <c r="K50" s="4" t="s">
        <v>95</v>
      </c>
    </row>
    <row r="51" spans="1:11" x14ac:dyDescent="0.35">
      <c r="A51" s="2">
        <v>45915</v>
      </c>
      <c r="B51" t="s">
        <v>149</v>
      </c>
      <c r="C51" t="s">
        <v>150</v>
      </c>
      <c r="E51" s="4">
        <v>142</v>
      </c>
      <c r="F51" s="130">
        <v>28.4</v>
      </c>
      <c r="G51" s="89">
        <f t="shared" si="2"/>
        <v>170.4</v>
      </c>
      <c r="I51" s="5">
        <f t="shared" si="3"/>
        <v>70792.530000000013</v>
      </c>
      <c r="J51" s="143" t="s">
        <v>185</v>
      </c>
      <c r="K51" s="4" t="s">
        <v>95</v>
      </c>
    </row>
    <row r="52" spans="1:11" x14ac:dyDescent="0.35">
      <c r="A52" s="2">
        <v>45915</v>
      </c>
      <c r="B52" t="s">
        <v>149</v>
      </c>
      <c r="C52" t="s">
        <v>150</v>
      </c>
      <c r="E52" s="4">
        <v>142</v>
      </c>
      <c r="F52" s="130">
        <v>28.4</v>
      </c>
      <c r="G52" s="89">
        <f t="shared" si="2"/>
        <v>170.4</v>
      </c>
      <c r="I52" s="5">
        <f t="shared" si="3"/>
        <v>70622.130000000019</v>
      </c>
      <c r="J52" s="143" t="s">
        <v>185</v>
      </c>
      <c r="K52" s="4" t="s">
        <v>95</v>
      </c>
    </row>
    <row r="53" spans="1:11" x14ac:dyDescent="0.35">
      <c r="A53" s="2">
        <v>45915</v>
      </c>
      <c r="B53" t="s">
        <v>151</v>
      </c>
      <c r="C53" t="s">
        <v>152</v>
      </c>
      <c r="E53" s="4">
        <v>56.06</v>
      </c>
      <c r="F53" s="4">
        <v>0</v>
      </c>
      <c r="G53" s="89">
        <f t="shared" si="2"/>
        <v>56.06</v>
      </c>
      <c r="I53" s="5">
        <f t="shared" si="3"/>
        <v>70566.070000000022</v>
      </c>
      <c r="J53" s="143" t="s">
        <v>185</v>
      </c>
      <c r="K53" s="4" t="s">
        <v>95</v>
      </c>
    </row>
    <row r="54" spans="1:11" x14ac:dyDescent="0.35">
      <c r="A54" s="2">
        <v>45930</v>
      </c>
      <c r="B54" t="s">
        <v>145</v>
      </c>
      <c r="C54" t="s">
        <v>146</v>
      </c>
      <c r="E54" s="4">
        <v>696.05</v>
      </c>
      <c r="F54" s="4">
        <v>0</v>
      </c>
      <c r="G54" s="89">
        <f t="shared" si="2"/>
        <v>696.05</v>
      </c>
      <c r="I54" s="5">
        <f t="shared" si="3"/>
        <v>69870.020000000019</v>
      </c>
      <c r="J54" s="143" t="s">
        <v>154</v>
      </c>
      <c r="K54" s="4" t="s">
        <v>95</v>
      </c>
    </row>
    <row r="55" spans="1:11" x14ac:dyDescent="0.35">
      <c r="A55" s="2">
        <v>45930</v>
      </c>
      <c r="B55" t="s">
        <v>22</v>
      </c>
      <c r="C55" t="s">
        <v>22</v>
      </c>
      <c r="E55" s="4">
        <v>58.33</v>
      </c>
      <c r="F55" s="4">
        <v>0</v>
      </c>
      <c r="G55" s="89">
        <f t="shared" si="2"/>
        <v>58.33</v>
      </c>
      <c r="I55" s="5">
        <f t="shared" si="3"/>
        <v>69811.690000000017</v>
      </c>
      <c r="J55" s="143" t="s">
        <v>154</v>
      </c>
      <c r="K55" s="4" t="s">
        <v>95</v>
      </c>
    </row>
    <row r="56" spans="1:11" x14ac:dyDescent="0.35">
      <c r="A56" s="2">
        <v>45930</v>
      </c>
      <c r="B56" t="s">
        <v>147</v>
      </c>
      <c r="C56" t="s">
        <v>148</v>
      </c>
      <c r="E56" s="51">
        <v>42.96</v>
      </c>
      <c r="F56" s="51">
        <v>0</v>
      </c>
      <c r="G56" s="89">
        <f t="shared" si="2"/>
        <v>42.96</v>
      </c>
      <c r="I56" s="5">
        <f t="shared" si="3"/>
        <v>69768.73000000001</v>
      </c>
      <c r="J56" s="143" t="s">
        <v>154</v>
      </c>
      <c r="K56" s="51" t="s">
        <v>95</v>
      </c>
    </row>
    <row r="57" spans="1:11" x14ac:dyDescent="0.35">
      <c r="A57" s="2">
        <v>45933</v>
      </c>
      <c r="B57" t="s">
        <v>155</v>
      </c>
      <c r="C57" t="s">
        <v>156</v>
      </c>
      <c r="E57" s="4">
        <v>47</v>
      </c>
      <c r="F57" s="4">
        <v>0</v>
      </c>
      <c r="G57" s="89">
        <f t="shared" ref="G57:G105" si="4">SUM(E57:F57)</f>
        <v>47</v>
      </c>
      <c r="I57" s="5">
        <f t="shared" si="3"/>
        <v>69721.73000000001</v>
      </c>
      <c r="J57" s="143" t="s">
        <v>113</v>
      </c>
      <c r="K57" s="4" t="s">
        <v>95</v>
      </c>
    </row>
    <row r="58" spans="1:11" x14ac:dyDescent="0.35">
      <c r="A58" s="2">
        <v>45937</v>
      </c>
      <c r="B58" t="s">
        <v>283</v>
      </c>
      <c r="C58" t="s">
        <v>15</v>
      </c>
      <c r="E58" s="4">
        <v>18.34</v>
      </c>
      <c r="F58" s="4">
        <v>0</v>
      </c>
      <c r="G58" s="89">
        <f t="shared" si="4"/>
        <v>18.34</v>
      </c>
      <c r="I58" s="5">
        <f t="shared" si="3"/>
        <v>69703.390000000014</v>
      </c>
      <c r="J58" s="143" t="s">
        <v>154</v>
      </c>
    </row>
    <row r="59" spans="1:11" x14ac:dyDescent="0.35">
      <c r="A59" s="2">
        <v>45966</v>
      </c>
      <c r="B59" t="s">
        <v>283</v>
      </c>
      <c r="C59" t="s">
        <v>15</v>
      </c>
      <c r="E59" s="4">
        <v>18.34</v>
      </c>
      <c r="F59" s="4">
        <v>0</v>
      </c>
      <c r="G59" s="89">
        <f t="shared" si="4"/>
        <v>18.34</v>
      </c>
      <c r="I59" s="5">
        <f t="shared" si="3"/>
        <v>69685.050000000017</v>
      </c>
      <c r="J59" s="143" t="s">
        <v>154</v>
      </c>
    </row>
    <row r="60" spans="1:11" x14ac:dyDescent="0.35">
      <c r="A60" s="2">
        <v>45971</v>
      </c>
      <c r="B60" t="s">
        <v>203</v>
      </c>
      <c r="C60" t="s">
        <v>286</v>
      </c>
      <c r="E60" s="4">
        <v>0</v>
      </c>
      <c r="F60" s="4">
        <v>0</v>
      </c>
      <c r="G60" s="89">
        <f t="shared" si="4"/>
        <v>0</v>
      </c>
      <c r="H60" s="83">
        <v>2500</v>
      </c>
      <c r="I60" s="5">
        <f t="shared" si="3"/>
        <v>72185.050000000017</v>
      </c>
      <c r="J60" s="143" t="s">
        <v>185</v>
      </c>
    </row>
    <row r="61" spans="1:11" x14ac:dyDescent="0.35">
      <c r="A61" s="2">
        <v>45971</v>
      </c>
      <c r="B61" t="s">
        <v>17</v>
      </c>
      <c r="C61" t="s">
        <v>18</v>
      </c>
      <c r="E61" s="4">
        <v>1387.73</v>
      </c>
      <c r="F61" s="4">
        <v>0</v>
      </c>
      <c r="G61" s="89">
        <f t="shared" si="4"/>
        <v>1387.73</v>
      </c>
      <c r="I61" s="5">
        <f t="shared" si="3"/>
        <v>70797.320000000022</v>
      </c>
      <c r="J61" s="143" t="s">
        <v>134</v>
      </c>
    </row>
    <row r="62" spans="1:11" x14ac:dyDescent="0.35">
      <c r="A62" s="2">
        <v>45975</v>
      </c>
      <c r="B62" t="s">
        <v>24</v>
      </c>
      <c r="C62" t="s">
        <v>157</v>
      </c>
      <c r="E62" s="4">
        <v>42.96</v>
      </c>
      <c r="F62" s="4">
        <v>0</v>
      </c>
      <c r="G62" s="89">
        <f t="shared" si="4"/>
        <v>42.96</v>
      </c>
      <c r="I62" s="5">
        <f t="shared" si="3"/>
        <v>70754.360000000015</v>
      </c>
      <c r="J62" s="143" t="s">
        <v>154</v>
      </c>
      <c r="K62" s="4" t="s">
        <v>95</v>
      </c>
    </row>
    <row r="63" spans="1:11" x14ac:dyDescent="0.35">
      <c r="A63" s="2">
        <v>45975</v>
      </c>
      <c r="B63" t="s">
        <v>39</v>
      </c>
      <c r="C63" t="s">
        <v>40</v>
      </c>
      <c r="E63" s="4">
        <v>537</v>
      </c>
      <c r="F63" s="4">
        <v>0</v>
      </c>
      <c r="G63" s="89">
        <f t="shared" si="4"/>
        <v>537</v>
      </c>
      <c r="I63" s="5">
        <f t="shared" si="3"/>
        <v>70217.360000000015</v>
      </c>
      <c r="J63" s="143" t="s">
        <v>132</v>
      </c>
      <c r="K63" s="4" t="s">
        <v>95</v>
      </c>
    </row>
    <row r="64" spans="1:11" x14ac:dyDescent="0.35">
      <c r="A64" s="2">
        <v>45975</v>
      </c>
      <c r="B64" t="s">
        <v>151</v>
      </c>
      <c r="C64" t="s">
        <v>158</v>
      </c>
      <c r="E64" s="4">
        <v>25</v>
      </c>
      <c r="F64" s="4">
        <v>0</v>
      </c>
      <c r="G64" s="89">
        <f t="shared" si="4"/>
        <v>25</v>
      </c>
      <c r="I64" s="5">
        <f t="shared" si="3"/>
        <v>70192.360000000015</v>
      </c>
      <c r="J64" s="143" t="s">
        <v>112</v>
      </c>
      <c r="K64" s="4" t="s">
        <v>95</v>
      </c>
    </row>
    <row r="65" spans="1:17" x14ac:dyDescent="0.35">
      <c r="A65" s="2">
        <v>45975</v>
      </c>
      <c r="B65" t="s">
        <v>151</v>
      </c>
      <c r="C65" t="s">
        <v>159</v>
      </c>
      <c r="E65" s="4">
        <v>65</v>
      </c>
      <c r="F65" s="4">
        <v>13</v>
      </c>
      <c r="G65" s="89">
        <f t="shared" si="4"/>
        <v>78</v>
      </c>
      <c r="I65" s="5">
        <f t="shared" si="3"/>
        <v>70114.360000000015</v>
      </c>
      <c r="J65" s="143" t="s">
        <v>127</v>
      </c>
      <c r="K65" s="4" t="s">
        <v>95</v>
      </c>
    </row>
    <row r="66" spans="1:17" x14ac:dyDescent="0.35">
      <c r="A66" s="2">
        <v>45975</v>
      </c>
      <c r="B66" t="s">
        <v>160</v>
      </c>
      <c r="C66" t="s">
        <v>161</v>
      </c>
      <c r="E66" s="4">
        <v>75.209999999999994</v>
      </c>
      <c r="F66" s="4">
        <v>0</v>
      </c>
      <c r="G66" s="89">
        <f t="shared" si="4"/>
        <v>75.209999999999994</v>
      </c>
      <c r="I66" s="5">
        <f t="shared" si="3"/>
        <v>70039.150000000009</v>
      </c>
      <c r="J66" s="143" t="s">
        <v>154</v>
      </c>
      <c r="K66" s="4" t="s">
        <v>95</v>
      </c>
    </row>
    <row r="67" spans="1:17" x14ac:dyDescent="0.35">
      <c r="A67" s="2">
        <v>45975</v>
      </c>
      <c r="B67" t="s">
        <v>160</v>
      </c>
      <c r="C67" t="s">
        <v>162</v>
      </c>
      <c r="E67" s="4">
        <v>46.3</v>
      </c>
      <c r="F67" s="4">
        <v>0</v>
      </c>
      <c r="G67" s="89">
        <f t="shared" si="4"/>
        <v>46.3</v>
      </c>
      <c r="I67" s="5">
        <f t="shared" si="3"/>
        <v>69992.850000000006</v>
      </c>
      <c r="J67" s="143" t="s">
        <v>133</v>
      </c>
      <c r="K67" s="4" t="s">
        <v>95</v>
      </c>
    </row>
    <row r="68" spans="1:17" x14ac:dyDescent="0.35">
      <c r="A68" s="2">
        <v>45975</v>
      </c>
      <c r="B68" t="s">
        <v>163</v>
      </c>
      <c r="C68" t="s">
        <v>164</v>
      </c>
      <c r="E68" s="4">
        <v>238.99</v>
      </c>
      <c r="F68" s="4">
        <v>47.8</v>
      </c>
      <c r="G68" s="89">
        <f t="shared" si="4"/>
        <v>286.79000000000002</v>
      </c>
      <c r="I68" s="5">
        <f t="shared" si="3"/>
        <v>69706.060000000012</v>
      </c>
      <c r="J68" s="143" t="s">
        <v>182</v>
      </c>
      <c r="K68" s="4" t="s">
        <v>95</v>
      </c>
    </row>
    <row r="69" spans="1:17" x14ac:dyDescent="0.35">
      <c r="A69" s="2">
        <v>45975</v>
      </c>
      <c r="B69" t="s">
        <v>163</v>
      </c>
      <c r="C69" t="s">
        <v>165</v>
      </c>
      <c r="E69" s="4">
        <v>235</v>
      </c>
      <c r="F69" s="4">
        <v>0</v>
      </c>
      <c r="G69" s="89">
        <f t="shared" si="4"/>
        <v>235</v>
      </c>
      <c r="I69" s="5">
        <f t="shared" si="3"/>
        <v>69471.060000000012</v>
      </c>
      <c r="J69" s="143" t="s">
        <v>182</v>
      </c>
      <c r="K69" s="4" t="s">
        <v>95</v>
      </c>
    </row>
    <row r="70" spans="1:17" x14ac:dyDescent="0.35">
      <c r="A70" s="2">
        <v>45975</v>
      </c>
      <c r="B70" t="s">
        <v>166</v>
      </c>
      <c r="C70" t="s">
        <v>167</v>
      </c>
      <c r="E70" s="4">
        <v>250</v>
      </c>
      <c r="F70" s="4">
        <v>0</v>
      </c>
      <c r="G70" s="89">
        <f t="shared" si="4"/>
        <v>250</v>
      </c>
      <c r="I70" s="5">
        <f t="shared" si="3"/>
        <v>69221.060000000012</v>
      </c>
      <c r="J70" s="143" t="s">
        <v>114</v>
      </c>
      <c r="K70" s="4" t="s">
        <v>95</v>
      </c>
    </row>
    <row r="71" spans="1:17" x14ac:dyDescent="0.35">
      <c r="A71" s="2">
        <v>45975</v>
      </c>
      <c r="B71" t="s">
        <v>168</v>
      </c>
      <c r="C71" t="s">
        <v>169</v>
      </c>
      <c r="E71" s="4">
        <v>32</v>
      </c>
      <c r="F71" s="4">
        <v>0</v>
      </c>
      <c r="G71" s="89">
        <f t="shared" si="4"/>
        <v>32</v>
      </c>
      <c r="I71" s="5">
        <f t="shared" si="3"/>
        <v>69189.060000000012</v>
      </c>
      <c r="J71" s="143" t="s">
        <v>112</v>
      </c>
      <c r="K71" s="4" t="s">
        <v>95</v>
      </c>
    </row>
    <row r="72" spans="1:17" x14ac:dyDescent="0.35">
      <c r="A72" s="2">
        <v>45975</v>
      </c>
      <c r="B72" t="s">
        <v>30</v>
      </c>
      <c r="C72" t="s">
        <v>31</v>
      </c>
      <c r="E72" s="4">
        <v>211.25</v>
      </c>
      <c r="F72" s="4">
        <v>42.25</v>
      </c>
      <c r="G72" s="89">
        <f t="shared" si="4"/>
        <v>253.5</v>
      </c>
      <c r="I72" s="5">
        <f t="shared" si="3"/>
        <v>68935.560000000012</v>
      </c>
      <c r="J72" s="143" t="s">
        <v>136</v>
      </c>
      <c r="K72" s="4" t="s">
        <v>95</v>
      </c>
    </row>
    <row r="73" spans="1:17" x14ac:dyDescent="0.35">
      <c r="A73" s="2">
        <v>45978</v>
      </c>
      <c r="B73" t="s">
        <v>170</v>
      </c>
      <c r="C73" t="s">
        <v>323</v>
      </c>
      <c r="E73" s="4">
        <v>754.38</v>
      </c>
      <c r="F73" s="4">
        <v>0</v>
      </c>
      <c r="G73" s="89">
        <f t="shared" si="4"/>
        <v>754.38</v>
      </c>
      <c r="I73" s="5">
        <f t="shared" si="3"/>
        <v>68181.180000000008</v>
      </c>
      <c r="J73" s="143" t="s">
        <v>154</v>
      </c>
      <c r="K73" s="4" t="s">
        <v>95</v>
      </c>
    </row>
    <row r="74" spans="1:17" x14ac:dyDescent="0.35">
      <c r="A74" s="2">
        <v>45978</v>
      </c>
      <c r="B74" t="s">
        <v>24</v>
      </c>
      <c r="C74" t="s">
        <v>244</v>
      </c>
      <c r="E74" s="4">
        <v>42.96</v>
      </c>
      <c r="F74" s="4">
        <v>0</v>
      </c>
      <c r="G74" s="89">
        <f t="shared" si="4"/>
        <v>42.96</v>
      </c>
      <c r="I74" s="5">
        <f t="shared" si="3"/>
        <v>68138.22</v>
      </c>
      <c r="J74" s="143" t="s">
        <v>154</v>
      </c>
      <c r="K74" s="4" t="s">
        <v>95</v>
      </c>
    </row>
    <row r="75" spans="1:17" x14ac:dyDescent="0.35">
      <c r="A75" s="2">
        <v>45979</v>
      </c>
      <c r="B75" t="s">
        <v>333</v>
      </c>
      <c r="C75" t="s">
        <v>162</v>
      </c>
      <c r="E75" s="4">
        <v>48.1</v>
      </c>
      <c r="F75" s="4">
        <v>0</v>
      </c>
      <c r="G75" s="89">
        <f t="shared" si="4"/>
        <v>48.1</v>
      </c>
      <c r="I75" s="5">
        <f t="shared" si="3"/>
        <v>68090.12</v>
      </c>
      <c r="J75" s="143" t="s">
        <v>133</v>
      </c>
      <c r="K75" s="4" t="s">
        <v>95</v>
      </c>
    </row>
    <row r="76" spans="1:17" s="54" customFormat="1" x14ac:dyDescent="0.35">
      <c r="A76" s="88">
        <v>45992</v>
      </c>
      <c r="B76" s="54" t="s">
        <v>203</v>
      </c>
      <c r="C76" s="54" t="s">
        <v>238</v>
      </c>
      <c r="E76" s="55">
        <v>0</v>
      </c>
      <c r="F76" s="55">
        <v>0</v>
      </c>
      <c r="G76" s="90">
        <f t="shared" si="4"/>
        <v>0</v>
      </c>
      <c r="H76" s="83">
        <v>10.92</v>
      </c>
      <c r="I76" s="5">
        <f t="shared" si="3"/>
        <v>68101.039999999994</v>
      </c>
      <c r="J76" s="144" t="s">
        <v>185</v>
      </c>
      <c r="K76" s="55"/>
      <c r="Q76"/>
    </row>
    <row r="77" spans="1:17" x14ac:dyDescent="0.35">
      <c r="A77" s="2">
        <v>45992</v>
      </c>
      <c r="B77" t="s">
        <v>232</v>
      </c>
      <c r="C77" t="s">
        <v>204</v>
      </c>
      <c r="E77" s="51">
        <v>236.25</v>
      </c>
      <c r="F77" s="51">
        <v>47.25</v>
      </c>
      <c r="G77" s="89">
        <f t="shared" si="4"/>
        <v>283.5</v>
      </c>
      <c r="I77" s="5">
        <f t="shared" si="3"/>
        <v>67817.539999999994</v>
      </c>
      <c r="J77" s="143" t="s">
        <v>136</v>
      </c>
      <c r="K77" s="4" t="s">
        <v>95</v>
      </c>
    </row>
    <row r="78" spans="1:17" x14ac:dyDescent="0.35">
      <c r="A78" s="2">
        <v>45992</v>
      </c>
      <c r="B78" t="s">
        <v>231</v>
      </c>
      <c r="C78" t="s">
        <v>205</v>
      </c>
      <c r="E78" s="4">
        <v>754.38</v>
      </c>
      <c r="F78" s="4">
        <v>0</v>
      </c>
      <c r="G78" s="89">
        <f t="shared" si="4"/>
        <v>754.38</v>
      </c>
      <c r="I78" s="5">
        <f t="shared" si="3"/>
        <v>67063.159999999989</v>
      </c>
      <c r="J78" s="143" t="s">
        <v>154</v>
      </c>
      <c r="K78" s="4" t="s">
        <v>95</v>
      </c>
    </row>
    <row r="79" spans="1:17" x14ac:dyDescent="0.35">
      <c r="A79" s="2">
        <v>45996</v>
      </c>
      <c r="B79" t="s">
        <v>14</v>
      </c>
      <c r="C79" t="s">
        <v>15</v>
      </c>
      <c r="E79" s="4">
        <v>18.34</v>
      </c>
      <c r="F79" s="4">
        <v>0</v>
      </c>
      <c r="G79" s="89">
        <f t="shared" si="4"/>
        <v>18.34</v>
      </c>
      <c r="I79" s="5">
        <f t="shared" si="3"/>
        <v>67044.819999999992</v>
      </c>
      <c r="J79" s="143" t="s">
        <v>128</v>
      </c>
      <c r="K79" s="4" t="s">
        <v>95</v>
      </c>
    </row>
    <row r="80" spans="1:17" x14ac:dyDescent="0.35">
      <c r="A80" s="2">
        <v>45999</v>
      </c>
      <c r="B80" t="s">
        <v>233</v>
      </c>
      <c r="C80" t="s">
        <v>234</v>
      </c>
      <c r="E80" s="4">
        <f>1799.4/6*5</f>
        <v>1499.5000000000002</v>
      </c>
      <c r="F80" s="4">
        <f>+E80*0.2</f>
        <v>299.90000000000003</v>
      </c>
      <c r="G80" s="89">
        <f t="shared" si="4"/>
        <v>1799.4000000000003</v>
      </c>
      <c r="I80" s="5">
        <f t="shared" si="3"/>
        <v>65245.419999999991</v>
      </c>
      <c r="J80" s="143" t="s">
        <v>175</v>
      </c>
      <c r="K80" s="4" t="s">
        <v>95</v>
      </c>
    </row>
    <row r="81" spans="1:11" x14ac:dyDescent="0.35">
      <c r="A81" s="2">
        <v>46013</v>
      </c>
      <c r="B81" t="s">
        <v>230</v>
      </c>
      <c r="C81" s="49" t="s">
        <v>235</v>
      </c>
      <c r="E81" s="56">
        <v>85</v>
      </c>
      <c r="F81" s="51">
        <v>0</v>
      </c>
      <c r="G81" s="89">
        <f t="shared" si="4"/>
        <v>85</v>
      </c>
      <c r="I81" s="5">
        <f t="shared" si="3"/>
        <v>65160.419999999991</v>
      </c>
      <c r="J81" s="143" t="s">
        <v>129</v>
      </c>
      <c r="K81" s="4" t="s">
        <v>95</v>
      </c>
    </row>
    <row r="82" spans="1:11" x14ac:dyDescent="0.35">
      <c r="A82" s="2">
        <v>46020</v>
      </c>
      <c r="B82" t="s">
        <v>17</v>
      </c>
      <c r="C82" s="49" t="s">
        <v>236</v>
      </c>
      <c r="E82" s="52">
        <v>654.95000000000005</v>
      </c>
      <c r="F82" s="51">
        <v>0</v>
      </c>
      <c r="G82" s="89">
        <f t="shared" si="4"/>
        <v>654.95000000000005</v>
      </c>
      <c r="I82" s="5">
        <f t="shared" si="3"/>
        <v>64505.469999999994</v>
      </c>
      <c r="J82" s="143" t="s">
        <v>134</v>
      </c>
      <c r="K82" s="4" t="s">
        <v>95</v>
      </c>
    </row>
    <row r="83" spans="1:11" x14ac:dyDescent="0.35">
      <c r="A83" s="2">
        <v>46029</v>
      </c>
      <c r="B83" t="s">
        <v>14</v>
      </c>
      <c r="C83" s="49" t="s">
        <v>15</v>
      </c>
      <c r="E83" s="52">
        <v>140.77000000000001</v>
      </c>
      <c r="F83" s="51">
        <v>0</v>
      </c>
      <c r="G83" s="89">
        <f t="shared" si="4"/>
        <v>140.77000000000001</v>
      </c>
      <c r="I83" s="5">
        <f t="shared" si="3"/>
        <v>64364.7</v>
      </c>
      <c r="J83" s="143" t="s">
        <v>128</v>
      </c>
      <c r="K83" s="4" t="s">
        <v>95</v>
      </c>
    </row>
    <row r="84" spans="1:11" x14ac:dyDescent="0.35">
      <c r="A84" s="2">
        <v>46041</v>
      </c>
      <c r="B84" t="s">
        <v>237</v>
      </c>
      <c r="C84" s="49" t="s">
        <v>247</v>
      </c>
      <c r="E84" s="52">
        <v>754.38</v>
      </c>
      <c r="F84" s="51">
        <v>0</v>
      </c>
      <c r="G84" s="89">
        <f t="shared" si="4"/>
        <v>754.38</v>
      </c>
      <c r="I84" s="5">
        <f t="shared" si="3"/>
        <v>63610.32</v>
      </c>
      <c r="J84" s="143" t="s">
        <v>154</v>
      </c>
      <c r="K84" s="4" t="s">
        <v>95</v>
      </c>
    </row>
    <row r="85" spans="1:11" x14ac:dyDescent="0.35">
      <c r="A85" s="2">
        <v>46041</v>
      </c>
      <c r="B85" t="s">
        <v>24</v>
      </c>
      <c r="C85" s="49" t="s">
        <v>244</v>
      </c>
      <c r="E85" s="52">
        <v>418.42</v>
      </c>
      <c r="F85" s="51">
        <v>0</v>
      </c>
      <c r="G85" s="89">
        <f t="shared" si="4"/>
        <v>418.42</v>
      </c>
      <c r="I85" s="5">
        <f t="shared" si="3"/>
        <v>63191.9</v>
      </c>
      <c r="J85" s="143" t="s">
        <v>154</v>
      </c>
      <c r="K85" s="4" t="s">
        <v>95</v>
      </c>
    </row>
    <row r="86" spans="1:11" x14ac:dyDescent="0.35">
      <c r="A86" s="2">
        <v>46041</v>
      </c>
      <c r="B86" t="s">
        <v>230</v>
      </c>
      <c r="C86" s="49" t="s">
        <v>243</v>
      </c>
      <c r="E86" s="56">
        <v>20</v>
      </c>
      <c r="F86" s="51">
        <v>0</v>
      </c>
      <c r="G86" s="89">
        <f t="shared" si="4"/>
        <v>20</v>
      </c>
      <c r="I86" s="5">
        <f t="shared" si="3"/>
        <v>63171.9</v>
      </c>
      <c r="J86" s="143" t="s">
        <v>129</v>
      </c>
      <c r="K86" s="4" t="s">
        <v>95</v>
      </c>
    </row>
    <row r="87" spans="1:11" x14ac:dyDescent="0.35">
      <c r="A87" s="2">
        <v>46041</v>
      </c>
      <c r="B87" t="s">
        <v>81</v>
      </c>
      <c r="C87" s="49" t="s">
        <v>239</v>
      </c>
      <c r="E87" s="56">
        <v>20</v>
      </c>
      <c r="F87" s="51">
        <v>4</v>
      </c>
      <c r="G87" s="89">
        <f t="shared" si="4"/>
        <v>24</v>
      </c>
      <c r="I87" s="5">
        <f t="shared" si="3"/>
        <v>63147.9</v>
      </c>
      <c r="J87" s="143" t="s">
        <v>129</v>
      </c>
      <c r="K87" s="4" t="s">
        <v>95</v>
      </c>
    </row>
    <row r="88" spans="1:11" x14ac:dyDescent="0.35">
      <c r="A88" s="2">
        <v>46048</v>
      </c>
      <c r="B88" t="s">
        <v>39</v>
      </c>
      <c r="C88" s="49" t="s">
        <v>240</v>
      </c>
      <c r="E88" s="51">
        <v>720</v>
      </c>
      <c r="F88" s="51">
        <v>0</v>
      </c>
      <c r="G88" s="89">
        <f t="shared" si="4"/>
        <v>720</v>
      </c>
      <c r="I88" s="5">
        <f t="shared" si="3"/>
        <v>62427.9</v>
      </c>
      <c r="J88" s="143" t="s">
        <v>132</v>
      </c>
      <c r="K88" s="4" t="s">
        <v>95</v>
      </c>
    </row>
    <row r="89" spans="1:11" x14ac:dyDescent="0.35">
      <c r="A89" s="2">
        <v>46048</v>
      </c>
      <c r="B89" t="s">
        <v>245</v>
      </c>
      <c r="C89" s="49" t="s">
        <v>246</v>
      </c>
      <c r="E89" s="51">
        <v>2101.3000000000002</v>
      </c>
      <c r="F89" s="51">
        <v>0</v>
      </c>
      <c r="G89" s="89">
        <f t="shared" si="4"/>
        <v>2101.3000000000002</v>
      </c>
      <c r="I89" s="5">
        <f t="shared" si="3"/>
        <v>60326.6</v>
      </c>
      <c r="J89" s="143" t="s">
        <v>154</v>
      </c>
      <c r="K89" s="4" t="s">
        <v>95</v>
      </c>
    </row>
    <row r="90" spans="1:11" x14ac:dyDescent="0.35">
      <c r="A90" s="2">
        <v>46048</v>
      </c>
      <c r="B90" t="s">
        <v>241</v>
      </c>
      <c r="C90" s="49" t="s">
        <v>242</v>
      </c>
      <c r="E90" s="51">
        <v>500</v>
      </c>
      <c r="F90" s="51">
        <v>0</v>
      </c>
      <c r="G90" s="89">
        <f t="shared" si="4"/>
        <v>500</v>
      </c>
      <c r="I90" s="5">
        <f t="shared" si="3"/>
        <v>59826.6</v>
      </c>
      <c r="J90" s="143" t="s">
        <v>120</v>
      </c>
      <c r="K90" s="4" t="s">
        <v>95</v>
      </c>
    </row>
    <row r="91" spans="1:11" x14ac:dyDescent="0.35">
      <c r="A91" s="2">
        <v>46058</v>
      </c>
      <c r="B91" t="s">
        <v>14</v>
      </c>
      <c r="C91" s="49" t="s">
        <v>15</v>
      </c>
      <c r="E91" s="51">
        <v>42.67</v>
      </c>
      <c r="F91" s="51">
        <v>0</v>
      </c>
      <c r="G91" s="89">
        <f t="shared" si="4"/>
        <v>42.67</v>
      </c>
      <c r="I91" s="5">
        <f t="shared" si="3"/>
        <v>59783.93</v>
      </c>
      <c r="J91" s="143" t="s">
        <v>128</v>
      </c>
      <c r="K91" s="4" t="s">
        <v>95</v>
      </c>
    </row>
    <row r="92" spans="1:11" x14ac:dyDescent="0.35">
      <c r="A92" s="2">
        <v>46068</v>
      </c>
      <c r="B92" t="s">
        <v>278</v>
      </c>
      <c r="C92" s="49" t="s">
        <v>279</v>
      </c>
      <c r="E92" s="51">
        <v>44.66</v>
      </c>
      <c r="F92" s="51">
        <v>8.73</v>
      </c>
      <c r="G92" s="91">
        <f t="shared" si="4"/>
        <v>53.39</v>
      </c>
      <c r="I92" s="5">
        <f t="shared" si="3"/>
        <v>59730.54</v>
      </c>
      <c r="J92" s="143" t="s">
        <v>97</v>
      </c>
      <c r="K92" s="4" t="s">
        <v>341</v>
      </c>
    </row>
    <row r="93" spans="1:11" x14ac:dyDescent="0.35">
      <c r="A93" s="2">
        <v>46073</v>
      </c>
      <c r="B93" t="s">
        <v>24</v>
      </c>
      <c r="C93" s="49" t="s">
        <v>244</v>
      </c>
      <c r="E93" s="51">
        <v>136.54</v>
      </c>
      <c r="F93" s="51">
        <v>0</v>
      </c>
      <c r="G93" s="89">
        <f t="shared" si="4"/>
        <v>136.54</v>
      </c>
      <c r="I93" s="5">
        <f t="shared" si="3"/>
        <v>59594</v>
      </c>
      <c r="J93" s="143" t="s">
        <v>154</v>
      </c>
      <c r="K93" s="4" t="s">
        <v>95</v>
      </c>
    </row>
    <row r="94" spans="1:11" x14ac:dyDescent="0.35">
      <c r="A94" s="2">
        <v>46073</v>
      </c>
      <c r="B94" t="s">
        <v>248</v>
      </c>
      <c r="C94" s="49" t="s">
        <v>249</v>
      </c>
      <c r="E94" s="51">
        <v>827.63</v>
      </c>
      <c r="F94" s="51">
        <v>0</v>
      </c>
      <c r="G94" s="89">
        <f t="shared" si="4"/>
        <v>827.63</v>
      </c>
      <c r="I94" s="5">
        <f t="shared" si="3"/>
        <v>58766.37</v>
      </c>
      <c r="J94" s="143" t="s">
        <v>154</v>
      </c>
      <c r="K94" s="4" t="s">
        <v>95</v>
      </c>
    </row>
    <row r="95" spans="1:11" x14ac:dyDescent="0.35">
      <c r="A95" s="2">
        <v>46073</v>
      </c>
      <c r="B95" t="s">
        <v>27</v>
      </c>
      <c r="C95" s="49" t="s">
        <v>250</v>
      </c>
      <c r="E95" s="51">
        <v>40</v>
      </c>
      <c r="F95" s="51">
        <v>8</v>
      </c>
      <c r="G95" s="89">
        <f t="shared" ref="G95:G101" si="5">SUM(E95:F95)</f>
        <v>48</v>
      </c>
      <c r="I95" s="5">
        <f t="shared" si="3"/>
        <v>58718.37</v>
      </c>
      <c r="J95" s="143" t="s">
        <v>130</v>
      </c>
      <c r="K95" s="4" t="s">
        <v>95</v>
      </c>
    </row>
    <row r="96" spans="1:11" x14ac:dyDescent="0.35">
      <c r="A96" s="2">
        <v>46073</v>
      </c>
      <c r="B96" t="s">
        <v>251</v>
      </c>
      <c r="C96" s="49" t="s">
        <v>74</v>
      </c>
      <c r="E96" s="51">
        <v>300</v>
      </c>
      <c r="F96" s="51">
        <v>0</v>
      </c>
      <c r="G96" s="89">
        <f t="shared" si="5"/>
        <v>300</v>
      </c>
      <c r="I96" s="5">
        <f t="shared" si="3"/>
        <v>58418.37</v>
      </c>
      <c r="J96" s="143" t="s">
        <v>120</v>
      </c>
      <c r="K96" s="4" t="s">
        <v>95</v>
      </c>
    </row>
    <row r="97" spans="1:16" x14ac:dyDescent="0.35">
      <c r="A97" s="2">
        <v>46081</v>
      </c>
      <c r="B97" t="s">
        <v>280</v>
      </c>
      <c r="C97" s="49" t="s">
        <v>281</v>
      </c>
      <c r="E97" s="51">
        <v>827.63</v>
      </c>
      <c r="F97" s="51">
        <v>0</v>
      </c>
      <c r="G97" s="89">
        <f t="shared" si="5"/>
        <v>827.63</v>
      </c>
      <c r="I97" s="5">
        <f t="shared" si="3"/>
        <v>57590.740000000005</v>
      </c>
      <c r="J97" s="143" t="s">
        <v>154</v>
      </c>
      <c r="K97" s="4" t="s">
        <v>95</v>
      </c>
    </row>
    <row r="98" spans="1:16" x14ac:dyDescent="0.35">
      <c r="A98" s="2">
        <v>46081</v>
      </c>
      <c r="B98" t="s">
        <v>98</v>
      </c>
      <c r="C98" s="49" t="s">
        <v>282</v>
      </c>
      <c r="E98" s="51">
        <v>868</v>
      </c>
      <c r="F98" s="51">
        <v>0</v>
      </c>
      <c r="G98" s="89">
        <f t="shared" si="5"/>
        <v>868</v>
      </c>
      <c r="I98" s="5">
        <f t="shared" si="3"/>
        <v>56722.740000000005</v>
      </c>
      <c r="J98" s="143" t="s">
        <v>132</v>
      </c>
      <c r="K98" s="4" t="s">
        <v>95</v>
      </c>
    </row>
    <row r="99" spans="1:16" x14ac:dyDescent="0.35">
      <c r="A99" s="2">
        <v>46086</v>
      </c>
      <c r="B99" t="s">
        <v>252</v>
      </c>
      <c r="C99" s="49" t="s">
        <v>253</v>
      </c>
      <c r="E99" s="51">
        <v>2395</v>
      </c>
      <c r="F99" s="51">
        <v>479</v>
      </c>
      <c r="G99" s="89">
        <f t="shared" si="5"/>
        <v>2874</v>
      </c>
      <c r="I99" s="5">
        <f t="shared" si="3"/>
        <v>53848.740000000005</v>
      </c>
      <c r="J99" s="143" t="s">
        <v>175</v>
      </c>
      <c r="K99" s="4" t="s">
        <v>95</v>
      </c>
    </row>
    <row r="100" spans="1:16" x14ac:dyDescent="0.35">
      <c r="A100" s="2">
        <v>46086</v>
      </c>
      <c r="B100" t="s">
        <v>14</v>
      </c>
      <c r="C100" s="49" t="s">
        <v>15</v>
      </c>
      <c r="E100" s="51">
        <v>42.67</v>
      </c>
      <c r="F100" s="51">
        <v>0</v>
      </c>
      <c r="G100" s="89">
        <f t="shared" si="5"/>
        <v>42.67</v>
      </c>
      <c r="I100" s="5">
        <f t="shared" si="3"/>
        <v>53806.070000000007</v>
      </c>
      <c r="J100" s="143" t="s">
        <v>128</v>
      </c>
      <c r="K100" s="4" t="s">
        <v>95</v>
      </c>
      <c r="L100" s="64">
        <v>53859.46</v>
      </c>
      <c r="M100" s="57" t="s">
        <v>287</v>
      </c>
      <c r="N100" s="58" t="s">
        <v>288</v>
      </c>
      <c r="O100" s="58">
        <f>L100-I100</f>
        <v>53.389999999992142</v>
      </c>
      <c r="P100" s="5"/>
    </row>
    <row r="101" spans="1:16" x14ac:dyDescent="0.35">
      <c r="A101" s="2">
        <v>46098</v>
      </c>
      <c r="B101" t="s">
        <v>283</v>
      </c>
      <c r="C101" s="49" t="s">
        <v>284</v>
      </c>
      <c r="E101" s="51">
        <v>-18.34</v>
      </c>
      <c r="F101" s="51"/>
      <c r="G101" s="89">
        <f t="shared" si="5"/>
        <v>-18.34</v>
      </c>
      <c r="I101" s="5">
        <f t="shared" si="3"/>
        <v>53824.41</v>
      </c>
      <c r="J101" s="143" t="s">
        <v>154</v>
      </c>
      <c r="K101" s="4" t="s">
        <v>95</v>
      </c>
      <c r="L101" s="4"/>
    </row>
    <row r="102" spans="1:16" x14ac:dyDescent="0.35">
      <c r="A102" s="2">
        <v>46099</v>
      </c>
      <c r="B102" t="s">
        <v>24</v>
      </c>
      <c r="C102" s="49" t="s">
        <v>244</v>
      </c>
      <c r="E102" s="51">
        <v>93.58</v>
      </c>
      <c r="F102" s="51">
        <v>0</v>
      </c>
      <c r="G102" s="89">
        <f t="shared" ref="G102:G103" si="6">SUM(E102:F102)</f>
        <v>93.58</v>
      </c>
      <c r="I102" s="5">
        <f t="shared" si="3"/>
        <v>53730.83</v>
      </c>
      <c r="J102" s="143" t="s">
        <v>154</v>
      </c>
      <c r="K102" s="4" t="s">
        <v>95</v>
      </c>
      <c r="L102" s="4"/>
    </row>
    <row r="103" spans="1:16" x14ac:dyDescent="0.35">
      <c r="A103" s="2">
        <v>46101</v>
      </c>
      <c r="B103" t="s">
        <v>283</v>
      </c>
      <c r="C103" s="49" t="s">
        <v>284</v>
      </c>
      <c r="E103" s="51">
        <v>-18.29</v>
      </c>
      <c r="G103" s="89">
        <f t="shared" si="6"/>
        <v>-18.29</v>
      </c>
      <c r="I103" s="5">
        <f t="shared" si="3"/>
        <v>53749.120000000003</v>
      </c>
      <c r="J103" s="143" t="s">
        <v>154</v>
      </c>
      <c r="K103" s="4" t="s">
        <v>95</v>
      </c>
      <c r="L103" s="4"/>
    </row>
    <row r="104" spans="1:16" x14ac:dyDescent="0.35">
      <c r="A104" s="2">
        <v>46106</v>
      </c>
      <c r="B104" t="s">
        <v>285</v>
      </c>
      <c r="C104" s="49" t="s">
        <v>74</v>
      </c>
      <c r="E104" s="51">
        <v>16000</v>
      </c>
      <c r="F104" s="51">
        <v>0</v>
      </c>
      <c r="G104" s="89">
        <f>SUM(E104:F104)</f>
        <v>16000</v>
      </c>
      <c r="I104" s="5">
        <f t="shared" si="3"/>
        <v>37749.120000000003</v>
      </c>
      <c r="J104" s="143" t="s">
        <v>120</v>
      </c>
      <c r="K104" s="4" t="s">
        <v>95</v>
      </c>
      <c r="L104" s="4"/>
    </row>
    <row r="105" spans="1:16" x14ac:dyDescent="0.35">
      <c r="A105" s="63">
        <v>46113</v>
      </c>
      <c r="B105" t="s">
        <v>324</v>
      </c>
      <c r="C105" s="49" t="s">
        <v>325</v>
      </c>
      <c r="E105" s="51">
        <v>827.63</v>
      </c>
      <c r="F105" s="51">
        <v>0</v>
      </c>
      <c r="G105" s="5">
        <f t="shared" si="4"/>
        <v>827.63</v>
      </c>
      <c r="I105" s="5">
        <f t="shared" si="3"/>
        <v>36921.490000000005</v>
      </c>
      <c r="J105" s="143" t="s">
        <v>154</v>
      </c>
      <c r="K105" s="4" t="s">
        <v>339</v>
      </c>
      <c r="L105" s="64">
        <v>36974.879999999997</v>
      </c>
      <c r="M105" s="57" t="s">
        <v>287</v>
      </c>
      <c r="N105" s="94">
        <f>L105-I105-G92</f>
        <v>-7.8586026575067081E-12</v>
      </c>
      <c r="O105" s="95" t="s">
        <v>288</v>
      </c>
    </row>
    <row r="106" spans="1:16" x14ac:dyDescent="0.35">
      <c r="A106" s="2"/>
      <c r="E106" s="61">
        <f>SUM(E7:E105)</f>
        <v>49421.52</v>
      </c>
      <c r="F106" s="61">
        <f t="shared" ref="F106:G106" si="7">SUM(F7:F105)</f>
        <v>1290.01</v>
      </c>
      <c r="G106" s="61">
        <f t="shared" si="7"/>
        <v>50711.53</v>
      </c>
      <c r="H106" s="85">
        <f>SUM(H7:H105)</f>
        <v>37441.19</v>
      </c>
      <c r="I106" s="5"/>
      <c r="J106" s="145" t="s">
        <v>361</v>
      </c>
    </row>
    <row r="107" spans="1:16" x14ac:dyDescent="0.35">
      <c r="A107" s="2"/>
      <c r="E107" s="5"/>
      <c r="G107" s="5"/>
      <c r="H107" s="86">
        <f>G106-H106</f>
        <v>13270.339999999997</v>
      </c>
      <c r="I107" s="5" t="s">
        <v>338</v>
      </c>
      <c r="M107" s="66"/>
      <c r="N107" s="67"/>
      <c r="O107" s="67"/>
      <c r="P107" s="68"/>
    </row>
    <row r="108" spans="1:16" x14ac:dyDescent="0.35">
      <c r="A108" s="2"/>
      <c r="G108" s="5"/>
      <c r="H108" s="83">
        <f>H106-34299</f>
        <v>3142.1900000000023</v>
      </c>
      <c r="I108" s="5"/>
      <c r="M108" s="69" t="s">
        <v>330</v>
      </c>
      <c r="P108" s="70"/>
    </row>
    <row r="109" spans="1:16" x14ac:dyDescent="0.35">
      <c r="A109" s="2"/>
      <c r="G109" s="5"/>
      <c r="I109" s="5"/>
      <c r="M109" s="69" t="s">
        <v>326</v>
      </c>
      <c r="N109" s="71" t="s">
        <v>327</v>
      </c>
      <c r="P109" s="70"/>
    </row>
    <row r="110" spans="1:16" x14ac:dyDescent="0.35">
      <c r="A110" s="2"/>
      <c r="G110" s="5">
        <f>G106-H25</f>
        <v>49981.26</v>
      </c>
      <c r="I110" s="5"/>
      <c r="M110" s="72">
        <f>SUM(G6:G105)</f>
        <v>50711.53</v>
      </c>
      <c r="N110" s="73">
        <f>SUM(H7:H105)</f>
        <v>37441.19</v>
      </c>
      <c r="P110" s="70"/>
    </row>
    <row r="111" spans="1:16" x14ac:dyDescent="0.35">
      <c r="A111" s="2"/>
      <c r="I111" s="5"/>
      <c r="M111" s="53">
        <f>M110-N110</f>
        <v>13270.339999999997</v>
      </c>
      <c r="N111" s="74" t="s">
        <v>334</v>
      </c>
      <c r="P111" s="70"/>
    </row>
    <row r="112" spans="1:16" x14ac:dyDescent="0.35">
      <c r="A112" s="2"/>
      <c r="I112" s="5"/>
      <c r="M112" s="72">
        <f>-'MPC Bank Transactions all'!B96</f>
        <v>12389.32</v>
      </c>
      <c r="N112" s="74" t="s">
        <v>335</v>
      </c>
      <c r="P112" s="70"/>
    </row>
    <row r="113" spans="1:16" x14ac:dyDescent="0.35">
      <c r="A113" s="2"/>
      <c r="I113" s="5"/>
      <c r="M113" s="72">
        <f>M111-M112</f>
        <v>881.0199999999968</v>
      </c>
      <c r="N113" s="74" t="s">
        <v>288</v>
      </c>
      <c r="P113" s="70"/>
    </row>
    <row r="114" spans="1:16" x14ac:dyDescent="0.35">
      <c r="A114" s="2"/>
      <c r="I114" s="5"/>
      <c r="M114" s="75">
        <f>-G105</f>
        <v>-827.63</v>
      </c>
      <c r="N114" s="60" t="s">
        <v>328</v>
      </c>
      <c r="P114" s="70"/>
    </row>
    <row r="115" spans="1:16" x14ac:dyDescent="0.35">
      <c r="A115" s="2"/>
      <c r="I115" s="5"/>
      <c r="M115" s="75">
        <f>-G92</f>
        <v>-53.39</v>
      </c>
      <c r="N115" s="60"/>
      <c r="P115" s="70"/>
    </row>
    <row r="116" spans="1:16" x14ac:dyDescent="0.35">
      <c r="A116" s="2"/>
      <c r="I116" s="5"/>
      <c r="M116" s="93">
        <f>SUM(M113:M115)</f>
        <v>-3.1974423109204508E-12</v>
      </c>
      <c r="N116" s="92" t="s">
        <v>288</v>
      </c>
      <c r="O116" s="87"/>
      <c r="P116" s="70"/>
    </row>
    <row r="117" spans="1:16" x14ac:dyDescent="0.35">
      <c r="A117" s="2"/>
      <c r="I117" s="5"/>
      <c r="M117" s="76"/>
      <c r="N117" s="77"/>
      <c r="O117" s="77"/>
      <c r="P117" s="78"/>
    </row>
    <row r="118" spans="1:16" x14ac:dyDescent="0.35">
      <c r="A118" s="2"/>
    </row>
    <row r="119" spans="1:16" x14ac:dyDescent="0.35">
      <c r="A119" s="2"/>
    </row>
    <row r="120" spans="1:16" x14ac:dyDescent="0.35">
      <c r="A120" s="2"/>
    </row>
    <row r="121" spans="1:16" x14ac:dyDescent="0.35">
      <c r="A121" s="2"/>
    </row>
    <row r="122" spans="1:16" x14ac:dyDescent="0.35">
      <c r="A122" s="2"/>
    </row>
    <row r="123" spans="1:16" x14ac:dyDescent="0.35">
      <c r="A123" s="2"/>
    </row>
    <row r="124" spans="1:16" x14ac:dyDescent="0.35">
      <c r="A124" s="2"/>
    </row>
    <row r="125" spans="1:16" x14ac:dyDescent="0.35">
      <c r="A125" s="2"/>
    </row>
    <row r="126" spans="1:16" x14ac:dyDescent="0.35">
      <c r="A126" s="2"/>
    </row>
    <row r="127" spans="1:16" x14ac:dyDescent="0.35">
      <c r="A127" s="2"/>
    </row>
    <row r="128" spans="1:16" x14ac:dyDescent="0.35">
      <c r="A128" s="2"/>
    </row>
    <row r="129" spans="1:1" x14ac:dyDescent="0.35">
      <c r="A129" s="2"/>
    </row>
    <row r="130" spans="1:1" x14ac:dyDescent="0.35">
      <c r="A130" s="2"/>
    </row>
    <row r="131" spans="1:1" x14ac:dyDescent="0.35">
      <c r="A131" s="2"/>
    </row>
    <row r="132" spans="1:1" x14ac:dyDescent="0.35">
      <c r="A132" s="2"/>
    </row>
    <row r="133" spans="1:1" x14ac:dyDescent="0.35">
      <c r="A133" s="2"/>
    </row>
  </sheetData>
  <autoFilter ref="A5:K109" xr:uid="{E068B92F-CE49-4CAB-A365-E57F3A363490}"/>
  <sortState xmlns:xlrd2="http://schemas.microsoft.com/office/spreadsheetml/2017/richdata2" ref="A95:L104">
    <sortCondition ref="A95:A104"/>
  </sortState>
  <pageMargins left="0.7" right="0.7" top="0.75" bottom="0.75" header="0.3" footer="0.3"/>
  <pageSetup paperSize="9" orientation="portrait" r:id="rId1"/>
  <ignoredErrors>
    <ignoredError sqref="G106" 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479D37F-5F27-40F4-82D2-AB305E6DC0A9}">
          <x14:formula1>
            <xm:f>Labels!$A$10:$A$37</xm:f>
          </x14:formula1>
          <xm:sqref>J70:J103 J6:J67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D17A-3E50-48E9-A5C2-D7424073D646}">
  <dimension ref="A3:H46"/>
  <sheetViews>
    <sheetView topLeftCell="A9" workbookViewId="0">
      <selection activeCell="E41" sqref="E41"/>
    </sheetView>
  </sheetViews>
  <sheetFormatPr defaultRowHeight="14.5" x14ac:dyDescent="0.35"/>
  <cols>
    <col min="1" max="1" width="2.7265625" customWidth="1"/>
    <col min="2" max="2" width="28.453125" style="4" bestFit="1" customWidth="1"/>
    <col min="3" max="3" width="13.1796875" customWidth="1"/>
    <col min="4" max="4" width="10.54296875" bestFit="1" customWidth="1"/>
    <col min="5" max="5" width="22" customWidth="1"/>
    <col min="6" max="7" width="12.54296875" customWidth="1"/>
  </cols>
  <sheetData>
    <row r="3" spans="2:6" ht="16" x14ac:dyDescent="0.5">
      <c r="B3" s="65" t="s">
        <v>332</v>
      </c>
    </row>
    <row r="6" spans="2:6" x14ac:dyDescent="0.35">
      <c r="B6" s="4" t="s">
        <v>177</v>
      </c>
      <c r="C6" s="80">
        <v>45869</v>
      </c>
      <c r="F6" t="s">
        <v>331</v>
      </c>
    </row>
    <row r="7" spans="2:6" x14ac:dyDescent="0.35">
      <c r="C7" s="4"/>
      <c r="D7" s="4"/>
    </row>
    <row r="8" spans="2:6" x14ac:dyDescent="0.35">
      <c r="B8" s="4" t="s">
        <v>178</v>
      </c>
      <c r="C8" s="4"/>
      <c r="D8" s="79">
        <f>+Cashbook!$I$6-SUMIF(Cashbook!A:A,"&lt;="&amp;+C6,Cashbook!G:G)+SUMIF(Cashbook!A:A,"&lt;="&amp;+C6,Cashbook!H:H)</f>
        <v>54837.45</v>
      </c>
    </row>
    <row r="9" spans="2:6" x14ac:dyDescent="0.35">
      <c r="B9" s="4" t="s">
        <v>179</v>
      </c>
      <c r="C9" s="4"/>
      <c r="D9" s="4"/>
    </row>
    <row r="10" spans="2:6" x14ac:dyDescent="0.35">
      <c r="B10" s="81" t="s">
        <v>337</v>
      </c>
      <c r="C10" s="82"/>
      <c r="D10" s="51"/>
    </row>
    <row r="11" spans="2:6" x14ac:dyDescent="0.35">
      <c r="B11" s="81"/>
      <c r="C11" s="82"/>
      <c r="D11" s="51"/>
    </row>
    <row r="12" spans="2:6" x14ac:dyDescent="0.35">
      <c r="B12" s="51"/>
      <c r="C12" s="51"/>
      <c r="D12" s="60">
        <f>SUM(C9:C11)</f>
        <v>0</v>
      </c>
    </row>
    <row r="13" spans="2:6" x14ac:dyDescent="0.35">
      <c r="B13" s="4" t="s">
        <v>180</v>
      </c>
      <c r="C13" s="4"/>
      <c r="D13" s="99">
        <v>54837.45</v>
      </c>
      <c r="F13" t="s">
        <v>331</v>
      </c>
    </row>
    <row r="14" spans="2:6" x14ac:dyDescent="0.35">
      <c r="C14" s="4"/>
      <c r="D14" s="4">
        <f>+D13-D8</f>
        <v>0</v>
      </c>
      <c r="E14" t="str">
        <f>IF(D13=(D8+D12),"Agreed","Differences to be found")</f>
        <v>Agreed</v>
      </c>
    </row>
    <row r="15" spans="2:6" x14ac:dyDescent="0.35">
      <c r="C15" s="4"/>
      <c r="D15" s="4"/>
    </row>
    <row r="16" spans="2:6" x14ac:dyDescent="0.35">
      <c r="B16" s="4" t="s">
        <v>177</v>
      </c>
      <c r="C16" s="80">
        <v>45930</v>
      </c>
    </row>
    <row r="17" spans="1:7" x14ac:dyDescent="0.35">
      <c r="C17" s="4"/>
      <c r="D17" s="4"/>
    </row>
    <row r="18" spans="1:7" x14ac:dyDescent="0.35">
      <c r="B18" s="4" t="s">
        <v>178</v>
      </c>
      <c r="C18" s="4"/>
      <c r="D18" s="79">
        <f>+Cashbook!$I$6-SUMIF(Cashbook!A:A,"&lt;="&amp;+C16,Cashbook!G:G)+SUMIF(Cashbook!A:A,"&lt;="&amp;+C16,Cashbook!H:H)</f>
        <v>69768.73000000001</v>
      </c>
    </row>
    <row r="19" spans="1:7" x14ac:dyDescent="0.35">
      <c r="B19" s="4" t="s">
        <v>179</v>
      </c>
      <c r="C19" s="4"/>
      <c r="D19" s="4"/>
    </row>
    <row r="20" spans="1:7" x14ac:dyDescent="0.35">
      <c r="B20" s="81" t="s">
        <v>337</v>
      </c>
      <c r="C20" s="82"/>
      <c r="D20" s="51"/>
    </row>
    <row r="21" spans="1:7" x14ac:dyDescent="0.35">
      <c r="B21" s="81"/>
      <c r="C21" s="82"/>
      <c r="D21" s="51"/>
    </row>
    <row r="22" spans="1:7" x14ac:dyDescent="0.35">
      <c r="B22" s="51"/>
      <c r="C22" s="51"/>
      <c r="D22" s="60">
        <f>SUM(C19:C21)</f>
        <v>0</v>
      </c>
    </row>
    <row r="23" spans="1:7" x14ac:dyDescent="0.35">
      <c r="B23" s="4" t="s">
        <v>180</v>
      </c>
      <c r="C23" s="4"/>
      <c r="D23" s="99">
        <v>69768.73</v>
      </c>
      <c r="F23" t="s">
        <v>331</v>
      </c>
    </row>
    <row r="24" spans="1:7" x14ac:dyDescent="0.35">
      <c r="C24" s="4"/>
      <c r="D24" s="4">
        <f>+D23-D18</f>
        <v>0</v>
      </c>
      <c r="E24" t="str">
        <f>IF(D23=(D18+D22),"Agreed","Differences to be found")</f>
        <v>Agreed</v>
      </c>
    </row>
    <row r="25" spans="1:7" x14ac:dyDescent="0.35">
      <c r="C25" s="4"/>
      <c r="D25" s="4"/>
    </row>
    <row r="26" spans="1:7" x14ac:dyDescent="0.35">
      <c r="B26" s="4" t="s">
        <v>177</v>
      </c>
      <c r="C26" s="80">
        <v>46112</v>
      </c>
    </row>
    <row r="27" spans="1:7" x14ac:dyDescent="0.35">
      <c r="C27" s="4"/>
      <c r="D27" s="4"/>
    </row>
    <row r="28" spans="1:7" x14ac:dyDescent="0.35">
      <c r="B28" s="4" t="s">
        <v>178</v>
      </c>
      <c r="C28" s="4"/>
      <c r="D28" s="79">
        <f>Cashbook!I104</f>
        <v>37749.120000000003</v>
      </c>
      <c r="F28" s="5"/>
      <c r="G28" s="5"/>
    </row>
    <row r="29" spans="1:7" x14ac:dyDescent="0.35">
      <c r="B29" s="4" t="s">
        <v>179</v>
      </c>
      <c r="C29" s="4"/>
      <c r="D29" s="4"/>
    </row>
    <row r="30" spans="1:7" x14ac:dyDescent="0.35">
      <c r="A30" s="4"/>
      <c r="C30" s="4"/>
      <c r="D30" s="51"/>
    </row>
    <row r="31" spans="1:7" x14ac:dyDescent="0.35">
      <c r="A31" s="4"/>
      <c r="B31" s="97" t="s">
        <v>340</v>
      </c>
      <c r="C31" s="98">
        <v>53.39</v>
      </c>
      <c r="D31" s="51"/>
    </row>
    <row r="32" spans="1:7" x14ac:dyDescent="0.35">
      <c r="B32" s="51"/>
      <c r="C32" s="51"/>
      <c r="D32" s="60">
        <f>SUM(C29:C31)</f>
        <v>53.39</v>
      </c>
    </row>
    <row r="33" spans="2:8" x14ac:dyDescent="0.35">
      <c r="B33" s="4" t="s">
        <v>180</v>
      </c>
      <c r="C33" s="4"/>
      <c r="D33" s="99">
        <f>36974.88+827.63</f>
        <v>37802.509999999995</v>
      </c>
      <c r="F33" t="s">
        <v>331</v>
      </c>
      <c r="H33" s="125" t="s">
        <v>384</v>
      </c>
    </row>
    <row r="34" spans="2:8" x14ac:dyDescent="0.35">
      <c r="C34" s="4"/>
      <c r="D34" s="4">
        <f>+D33-D28</f>
        <v>53.389999999992142</v>
      </c>
      <c r="E34" s="96" t="str">
        <f>IF(D33=(D28+D32),"Agreed","Differences to be found")</f>
        <v>Agreed</v>
      </c>
    </row>
    <row r="35" spans="2:8" x14ac:dyDescent="0.35">
      <c r="C35" s="4"/>
    </row>
    <row r="36" spans="2:8" x14ac:dyDescent="0.35">
      <c r="C36" s="4"/>
    </row>
    <row r="37" spans="2:8" x14ac:dyDescent="0.35">
      <c r="C37" s="4"/>
    </row>
    <row r="38" spans="2:8" x14ac:dyDescent="0.35">
      <c r="C38" s="4"/>
    </row>
    <row r="39" spans="2:8" x14ac:dyDescent="0.35">
      <c r="C39" s="4"/>
    </row>
    <row r="40" spans="2:8" x14ac:dyDescent="0.35">
      <c r="C40" s="4"/>
    </row>
    <row r="41" spans="2:8" x14ac:dyDescent="0.35">
      <c r="C41" s="4"/>
    </row>
    <row r="42" spans="2:8" x14ac:dyDescent="0.35">
      <c r="C42" s="4"/>
    </row>
    <row r="43" spans="2:8" x14ac:dyDescent="0.35">
      <c r="C43" s="4"/>
    </row>
    <row r="44" spans="2:8" x14ac:dyDescent="0.35">
      <c r="C44" s="4"/>
    </row>
    <row r="45" spans="2:8" x14ac:dyDescent="0.35">
      <c r="C45" s="4"/>
    </row>
    <row r="46" spans="2:8" x14ac:dyDescent="0.35">
      <c r="C46" s="4"/>
    </row>
  </sheetData>
  <conditionalFormatting sqref="E14">
    <cfRule type="containsText" dxfId="5" priority="1" operator="containsText" text="Agreed">
      <formula>NOT(ISERROR(SEARCH("Agreed",E14)))</formula>
    </cfRule>
    <cfRule type="containsText" dxfId="4" priority="2" operator="containsText" text="Differences">
      <formula>NOT(ISERROR(SEARCH("Differences",E14)))</formula>
    </cfRule>
  </conditionalFormatting>
  <conditionalFormatting sqref="E24">
    <cfRule type="containsText" dxfId="3" priority="3" operator="containsText" text="Agreed">
      <formula>NOT(ISERROR(SEARCH("Agreed",E24)))</formula>
    </cfRule>
    <cfRule type="containsText" dxfId="2" priority="4" operator="containsText" text="Differences">
      <formula>NOT(ISERROR(SEARCH("Differences",E24)))</formula>
    </cfRule>
  </conditionalFormatting>
  <conditionalFormatting sqref="E34">
    <cfRule type="containsText" dxfId="1" priority="5" operator="containsText" text="Agreed">
      <formula>NOT(ISERROR(SEARCH("Agreed",E34)))</formula>
    </cfRule>
    <cfRule type="containsText" dxfId="0" priority="6" operator="containsText" text="Differences">
      <formula>NOT(ISERROR(SEARCH("Differences",E34)))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FB2D-79BC-4C63-86EF-738718E27B9C}">
  <dimension ref="A1:D96"/>
  <sheetViews>
    <sheetView workbookViewId="0">
      <selection activeCell="D12" sqref="D12"/>
    </sheetView>
  </sheetViews>
  <sheetFormatPr defaultRowHeight="14.5" x14ac:dyDescent="0.35"/>
  <cols>
    <col min="1" max="1" width="10.453125" bestFit="1" customWidth="1"/>
    <col min="2" max="2" width="10.1796875" style="4" bestFit="1" customWidth="1"/>
    <col min="3" max="3" width="13.453125" bestFit="1" customWidth="1"/>
    <col min="4" max="4" width="45.1796875" bestFit="1" customWidth="1"/>
  </cols>
  <sheetData>
    <row r="1" spans="1:4" x14ac:dyDescent="0.35">
      <c r="A1" t="s">
        <v>3</v>
      </c>
      <c r="B1" s="4" t="s">
        <v>229</v>
      </c>
      <c r="C1" t="s">
        <v>228</v>
      </c>
      <c r="D1" t="s">
        <v>227</v>
      </c>
    </row>
    <row r="2" spans="1:4" x14ac:dyDescent="0.35">
      <c r="A2" s="2">
        <v>46113</v>
      </c>
      <c r="B2" s="4">
        <v>-827.63</v>
      </c>
      <c r="C2" t="s">
        <v>209</v>
      </c>
      <c r="D2" t="s">
        <v>277</v>
      </c>
    </row>
    <row r="3" spans="1:4" x14ac:dyDescent="0.35">
      <c r="A3" s="2">
        <v>46106</v>
      </c>
      <c r="B3" s="4">
        <v>-16000</v>
      </c>
      <c r="C3" t="s">
        <v>209</v>
      </c>
      <c r="D3" t="s">
        <v>276</v>
      </c>
    </row>
    <row r="4" spans="1:4" x14ac:dyDescent="0.35">
      <c r="A4" s="2">
        <v>46101</v>
      </c>
      <c r="B4" s="4">
        <v>18.29</v>
      </c>
      <c r="C4" t="s">
        <v>256</v>
      </c>
      <c r="D4" t="s">
        <v>275</v>
      </c>
    </row>
    <row r="5" spans="1:4" x14ac:dyDescent="0.35">
      <c r="A5" s="2">
        <v>46099</v>
      </c>
      <c r="B5" s="4">
        <v>-93.58</v>
      </c>
      <c r="C5" t="s">
        <v>209</v>
      </c>
      <c r="D5" t="s">
        <v>274</v>
      </c>
    </row>
    <row r="6" spans="1:4" x14ac:dyDescent="0.35">
      <c r="A6" s="2">
        <v>46098</v>
      </c>
      <c r="B6" s="4">
        <v>18.34</v>
      </c>
      <c r="C6" t="s">
        <v>256</v>
      </c>
      <c r="D6" t="s">
        <v>273</v>
      </c>
    </row>
    <row r="7" spans="1:4" x14ac:dyDescent="0.35">
      <c r="A7" s="2">
        <v>46093</v>
      </c>
      <c r="B7" s="4">
        <v>-827.63</v>
      </c>
      <c r="C7" t="s">
        <v>209</v>
      </c>
      <c r="D7" t="s">
        <v>272</v>
      </c>
    </row>
    <row r="8" spans="1:4" x14ac:dyDescent="0.35">
      <c r="A8" s="2">
        <v>46093</v>
      </c>
      <c r="B8" s="4">
        <v>-868</v>
      </c>
      <c r="C8" t="s">
        <v>209</v>
      </c>
      <c r="D8" t="s">
        <v>271</v>
      </c>
    </row>
    <row r="9" spans="1:4" x14ac:dyDescent="0.35">
      <c r="A9" s="2">
        <v>46086</v>
      </c>
      <c r="B9" s="4">
        <v>-2874</v>
      </c>
      <c r="C9" t="s">
        <v>209</v>
      </c>
      <c r="D9" t="s">
        <v>226</v>
      </c>
    </row>
    <row r="10" spans="1:4" x14ac:dyDescent="0.35">
      <c r="A10" s="2">
        <v>46086</v>
      </c>
      <c r="B10" s="4">
        <v>-42.67</v>
      </c>
      <c r="C10" t="s">
        <v>212</v>
      </c>
      <c r="D10" t="s">
        <v>211</v>
      </c>
    </row>
    <row r="11" spans="1:4" x14ac:dyDescent="0.35">
      <c r="A11" s="2">
        <v>46073</v>
      </c>
      <c r="B11" s="4">
        <v>-136.54</v>
      </c>
      <c r="C11" t="s">
        <v>209</v>
      </c>
      <c r="D11" t="s">
        <v>225</v>
      </c>
    </row>
    <row r="12" spans="1:4" x14ac:dyDescent="0.35">
      <c r="A12" s="2">
        <v>46073</v>
      </c>
      <c r="B12" s="4">
        <v>-827.63</v>
      </c>
      <c r="C12" t="s">
        <v>209</v>
      </c>
      <c r="D12" t="s">
        <v>224</v>
      </c>
    </row>
    <row r="13" spans="1:4" x14ac:dyDescent="0.35">
      <c r="A13" s="2">
        <v>46073</v>
      </c>
      <c r="B13" s="4">
        <v>-48</v>
      </c>
      <c r="C13" t="s">
        <v>209</v>
      </c>
      <c r="D13" t="s">
        <v>223</v>
      </c>
    </row>
    <row r="14" spans="1:4" x14ac:dyDescent="0.35">
      <c r="A14" s="2">
        <v>46073</v>
      </c>
      <c r="B14" s="4">
        <v>-300</v>
      </c>
      <c r="C14" t="s">
        <v>209</v>
      </c>
      <c r="D14" t="s">
        <v>222</v>
      </c>
    </row>
    <row r="15" spans="1:4" x14ac:dyDescent="0.35">
      <c r="A15" s="2">
        <v>46058</v>
      </c>
      <c r="B15" s="4">
        <v>-42.67</v>
      </c>
      <c r="C15" t="s">
        <v>212</v>
      </c>
      <c r="D15" t="s">
        <v>211</v>
      </c>
    </row>
    <row r="16" spans="1:4" x14ac:dyDescent="0.35">
      <c r="A16" s="2">
        <v>46048</v>
      </c>
      <c r="B16" s="4">
        <v>-720</v>
      </c>
      <c r="C16" t="s">
        <v>209</v>
      </c>
      <c r="D16" t="s">
        <v>221</v>
      </c>
    </row>
    <row r="17" spans="1:4" x14ac:dyDescent="0.35">
      <c r="A17" s="2">
        <v>46048</v>
      </c>
      <c r="B17" s="4">
        <v>-2101.3000000000002</v>
      </c>
      <c r="C17" t="s">
        <v>209</v>
      </c>
      <c r="D17" t="s">
        <v>220</v>
      </c>
    </row>
    <row r="18" spans="1:4" x14ac:dyDescent="0.35">
      <c r="A18" s="2">
        <v>46048</v>
      </c>
      <c r="B18" s="4">
        <v>-500</v>
      </c>
      <c r="C18" t="s">
        <v>209</v>
      </c>
      <c r="D18" t="s">
        <v>219</v>
      </c>
    </row>
    <row r="19" spans="1:4" x14ac:dyDescent="0.35">
      <c r="A19" s="2">
        <v>46041</v>
      </c>
      <c r="B19" s="4">
        <v>-754.38</v>
      </c>
      <c r="C19" t="s">
        <v>209</v>
      </c>
      <c r="D19" t="s">
        <v>218</v>
      </c>
    </row>
    <row r="20" spans="1:4" x14ac:dyDescent="0.35">
      <c r="A20" s="2">
        <v>46041</v>
      </c>
      <c r="B20" s="4">
        <v>-418.42</v>
      </c>
      <c r="C20" t="s">
        <v>209</v>
      </c>
      <c r="D20" t="s">
        <v>217</v>
      </c>
    </row>
    <row r="21" spans="1:4" x14ac:dyDescent="0.35">
      <c r="A21" s="2">
        <v>46041</v>
      </c>
      <c r="B21" s="4">
        <v>-20</v>
      </c>
      <c r="C21" t="s">
        <v>209</v>
      </c>
      <c r="D21" t="s">
        <v>216</v>
      </c>
    </row>
    <row r="22" spans="1:4" x14ac:dyDescent="0.35">
      <c r="A22" s="2">
        <v>46041</v>
      </c>
      <c r="B22" s="4">
        <v>-24</v>
      </c>
      <c r="C22" t="s">
        <v>209</v>
      </c>
      <c r="D22" t="s">
        <v>215</v>
      </c>
    </row>
    <row r="23" spans="1:4" x14ac:dyDescent="0.35">
      <c r="A23" s="2">
        <v>46029</v>
      </c>
      <c r="B23" s="4">
        <v>-140.77000000000001</v>
      </c>
      <c r="C23" t="s">
        <v>212</v>
      </c>
      <c r="D23" t="s">
        <v>211</v>
      </c>
    </row>
    <row r="24" spans="1:4" x14ac:dyDescent="0.35">
      <c r="A24" s="2">
        <v>46020</v>
      </c>
      <c r="B24" s="4">
        <v>-654.95000000000005</v>
      </c>
      <c r="C24" t="s">
        <v>212</v>
      </c>
      <c r="D24" t="s">
        <v>214</v>
      </c>
    </row>
    <row r="25" spans="1:4" x14ac:dyDescent="0.35">
      <c r="A25" s="2">
        <v>46013</v>
      </c>
      <c r="B25" s="4">
        <v>-85</v>
      </c>
      <c r="C25" t="s">
        <v>209</v>
      </c>
      <c r="D25" t="s">
        <v>213</v>
      </c>
    </row>
    <row r="26" spans="1:4" x14ac:dyDescent="0.35">
      <c r="A26" s="2">
        <v>45999</v>
      </c>
      <c r="B26" s="4">
        <v>-1799.4</v>
      </c>
      <c r="C26" t="s">
        <v>209</v>
      </c>
      <c r="D26" t="s">
        <v>186</v>
      </c>
    </row>
    <row r="27" spans="1:4" x14ac:dyDescent="0.35">
      <c r="A27" s="2">
        <v>45996</v>
      </c>
      <c r="B27" s="4">
        <v>-18.34</v>
      </c>
      <c r="C27" t="s">
        <v>212</v>
      </c>
      <c r="D27" t="s">
        <v>211</v>
      </c>
    </row>
    <row r="28" spans="1:4" x14ac:dyDescent="0.35">
      <c r="A28" s="2">
        <v>45992</v>
      </c>
      <c r="B28" s="4">
        <v>-754.38</v>
      </c>
      <c r="C28" t="s">
        <v>209</v>
      </c>
      <c r="D28" t="s">
        <v>210</v>
      </c>
    </row>
    <row r="29" spans="1:4" x14ac:dyDescent="0.35">
      <c r="A29" s="2">
        <v>45992</v>
      </c>
      <c r="B29" s="4">
        <v>-283.5</v>
      </c>
      <c r="C29" t="s">
        <v>209</v>
      </c>
      <c r="D29" t="s">
        <v>208</v>
      </c>
    </row>
    <row r="30" spans="1:4" x14ac:dyDescent="0.35">
      <c r="A30" s="2">
        <v>45992</v>
      </c>
      <c r="B30" s="4">
        <v>10.92</v>
      </c>
      <c r="C30" t="s">
        <v>207</v>
      </c>
      <c r="D30" t="s">
        <v>206</v>
      </c>
    </row>
    <row r="31" spans="1:4" x14ac:dyDescent="0.35">
      <c r="A31" s="2">
        <v>45980</v>
      </c>
      <c r="B31" s="4">
        <v>-75.209999999999994</v>
      </c>
      <c r="C31" t="s">
        <v>209</v>
      </c>
      <c r="D31" t="s">
        <v>270</v>
      </c>
    </row>
    <row r="32" spans="1:4" x14ac:dyDescent="0.35">
      <c r="A32" s="2">
        <v>45980</v>
      </c>
      <c r="B32" s="4">
        <v>-78</v>
      </c>
      <c r="C32" t="s">
        <v>209</v>
      </c>
      <c r="D32" t="s">
        <v>269</v>
      </c>
    </row>
    <row r="33" spans="1:4" x14ac:dyDescent="0.35">
      <c r="A33" s="2">
        <v>45979</v>
      </c>
      <c r="B33" s="4">
        <v>-46.3</v>
      </c>
      <c r="C33" t="s">
        <v>209</v>
      </c>
      <c r="D33" t="s">
        <v>268</v>
      </c>
    </row>
    <row r="34" spans="1:4" x14ac:dyDescent="0.35">
      <c r="A34" s="2">
        <v>45979</v>
      </c>
      <c r="B34" s="4">
        <v>-48.1</v>
      </c>
      <c r="C34" t="s">
        <v>209</v>
      </c>
      <c r="D34" t="s">
        <v>267</v>
      </c>
    </row>
    <row r="35" spans="1:4" x14ac:dyDescent="0.35">
      <c r="A35" s="2">
        <v>45978</v>
      </c>
      <c r="B35" s="4">
        <v>-42.96</v>
      </c>
      <c r="C35" t="s">
        <v>209</v>
      </c>
      <c r="D35" t="s">
        <v>266</v>
      </c>
    </row>
    <row r="36" spans="1:4" x14ac:dyDescent="0.35">
      <c r="A36" s="2">
        <v>45978</v>
      </c>
      <c r="B36" s="4">
        <v>-253.5</v>
      </c>
      <c r="C36" t="s">
        <v>209</v>
      </c>
      <c r="D36" t="s">
        <v>265</v>
      </c>
    </row>
    <row r="37" spans="1:4" x14ac:dyDescent="0.35">
      <c r="A37" s="2">
        <v>45978</v>
      </c>
      <c r="B37" s="4">
        <v>-32</v>
      </c>
      <c r="C37" t="s">
        <v>209</v>
      </c>
      <c r="D37" t="s">
        <v>264</v>
      </c>
    </row>
    <row r="38" spans="1:4" x14ac:dyDescent="0.35">
      <c r="A38" s="2">
        <v>45978</v>
      </c>
      <c r="B38" s="4">
        <v>-250</v>
      </c>
      <c r="C38" t="s">
        <v>209</v>
      </c>
      <c r="D38" t="s">
        <v>263</v>
      </c>
    </row>
    <row r="39" spans="1:4" x14ac:dyDescent="0.35">
      <c r="A39" s="2">
        <v>45978</v>
      </c>
      <c r="B39" s="4">
        <v>-235</v>
      </c>
      <c r="C39" t="s">
        <v>209</v>
      </c>
      <c r="D39" t="s">
        <v>262</v>
      </c>
    </row>
    <row r="40" spans="1:4" x14ac:dyDescent="0.35">
      <c r="A40" s="2">
        <v>45978</v>
      </c>
      <c r="B40" s="4">
        <v>-286.79000000000002</v>
      </c>
      <c r="C40" t="s">
        <v>209</v>
      </c>
      <c r="D40" t="s">
        <v>261</v>
      </c>
    </row>
    <row r="41" spans="1:4" x14ac:dyDescent="0.35">
      <c r="A41" s="2">
        <v>45978</v>
      </c>
      <c r="B41" s="4">
        <v>-25</v>
      </c>
      <c r="C41" t="s">
        <v>209</v>
      </c>
      <c r="D41" t="s">
        <v>260</v>
      </c>
    </row>
    <row r="42" spans="1:4" x14ac:dyDescent="0.35">
      <c r="A42" s="2">
        <v>45978</v>
      </c>
      <c r="B42" s="4">
        <v>-537</v>
      </c>
      <c r="C42" t="s">
        <v>209</v>
      </c>
      <c r="D42" t="s">
        <v>259</v>
      </c>
    </row>
    <row r="43" spans="1:4" x14ac:dyDescent="0.35">
      <c r="A43" s="2">
        <v>45978</v>
      </c>
      <c r="B43" s="4">
        <v>-42.96</v>
      </c>
      <c r="C43" t="s">
        <v>209</v>
      </c>
      <c r="D43" t="s">
        <v>258</v>
      </c>
    </row>
    <row r="44" spans="1:4" x14ac:dyDescent="0.35">
      <c r="A44" s="2">
        <v>45978</v>
      </c>
      <c r="B44" s="4">
        <v>-754.38</v>
      </c>
      <c r="C44" t="s">
        <v>209</v>
      </c>
      <c r="D44" t="s">
        <v>257</v>
      </c>
    </row>
    <row r="45" spans="1:4" x14ac:dyDescent="0.35">
      <c r="A45" s="2">
        <v>45971</v>
      </c>
      <c r="B45" s="4">
        <v>2500</v>
      </c>
      <c r="C45" t="s">
        <v>256</v>
      </c>
      <c r="D45" t="s">
        <v>255</v>
      </c>
    </row>
    <row r="46" spans="1:4" x14ac:dyDescent="0.35">
      <c r="A46" s="2">
        <v>45971</v>
      </c>
      <c r="B46" s="4">
        <v>-1387.73</v>
      </c>
      <c r="C46" t="s">
        <v>212</v>
      </c>
      <c r="D46" t="s">
        <v>214</v>
      </c>
    </row>
    <row r="47" spans="1:4" x14ac:dyDescent="0.35">
      <c r="A47" s="2">
        <v>45966</v>
      </c>
      <c r="B47" s="4">
        <v>-18.34</v>
      </c>
      <c r="C47" t="s">
        <v>212</v>
      </c>
      <c r="D47" t="s">
        <v>211</v>
      </c>
    </row>
    <row r="48" spans="1:4" x14ac:dyDescent="0.35">
      <c r="A48" s="2">
        <v>45937</v>
      </c>
      <c r="B48" s="4">
        <v>-18.34</v>
      </c>
      <c r="C48" t="s">
        <v>212</v>
      </c>
      <c r="D48" t="s">
        <v>211</v>
      </c>
    </row>
    <row r="49" spans="1:4" x14ac:dyDescent="0.35">
      <c r="A49" s="2">
        <v>45933</v>
      </c>
      <c r="B49" s="4">
        <v>-47</v>
      </c>
      <c r="C49" t="s">
        <v>212</v>
      </c>
      <c r="D49" t="s">
        <v>254</v>
      </c>
    </row>
    <row r="50" spans="1:4" x14ac:dyDescent="0.35">
      <c r="A50" s="2">
        <v>45930</v>
      </c>
      <c r="B50" s="4">
        <v>-42.96</v>
      </c>
      <c r="C50" t="s">
        <v>209</v>
      </c>
      <c r="D50" t="s">
        <v>322</v>
      </c>
    </row>
    <row r="51" spans="1:4" x14ac:dyDescent="0.35">
      <c r="A51" s="2">
        <v>45930</v>
      </c>
      <c r="B51" s="4">
        <v>-754.38</v>
      </c>
      <c r="C51" t="s">
        <v>209</v>
      </c>
      <c r="D51" t="s">
        <v>321</v>
      </c>
    </row>
    <row r="52" spans="1:4" x14ac:dyDescent="0.35">
      <c r="A52" s="2">
        <v>45915</v>
      </c>
      <c r="B52" s="4">
        <v>-37</v>
      </c>
      <c r="C52" t="s">
        <v>209</v>
      </c>
      <c r="D52" t="s">
        <v>320</v>
      </c>
    </row>
    <row r="53" spans="1:4" x14ac:dyDescent="0.35">
      <c r="A53" s="2">
        <v>45915</v>
      </c>
      <c r="B53" s="4">
        <v>-56.06</v>
      </c>
      <c r="C53" t="s">
        <v>209</v>
      </c>
      <c r="D53" t="s">
        <v>319</v>
      </c>
    </row>
    <row r="54" spans="1:4" x14ac:dyDescent="0.35">
      <c r="A54" s="2">
        <v>45915</v>
      </c>
      <c r="B54" s="4">
        <v>-170.4</v>
      </c>
      <c r="C54" t="s">
        <v>209</v>
      </c>
      <c r="D54" t="s">
        <v>318</v>
      </c>
    </row>
    <row r="55" spans="1:4" x14ac:dyDescent="0.35">
      <c r="A55" s="2">
        <v>45915</v>
      </c>
      <c r="B55" s="4">
        <v>-170.4</v>
      </c>
      <c r="C55" t="s">
        <v>209</v>
      </c>
      <c r="D55" t="s">
        <v>317</v>
      </c>
    </row>
    <row r="56" spans="1:4" x14ac:dyDescent="0.35">
      <c r="A56" s="2">
        <v>45915</v>
      </c>
      <c r="B56" s="4">
        <v>-56.06</v>
      </c>
      <c r="C56" t="s">
        <v>209</v>
      </c>
      <c r="D56" t="s">
        <v>316</v>
      </c>
    </row>
    <row r="57" spans="1:4" x14ac:dyDescent="0.35">
      <c r="A57" s="2">
        <v>45915</v>
      </c>
      <c r="B57" s="4">
        <v>-838.24</v>
      </c>
      <c r="C57" t="s">
        <v>209</v>
      </c>
      <c r="D57" t="s">
        <v>305</v>
      </c>
    </row>
    <row r="58" spans="1:4" x14ac:dyDescent="0.35">
      <c r="A58" s="2">
        <v>45912</v>
      </c>
      <c r="B58" s="4">
        <v>17100</v>
      </c>
      <c r="C58" t="s">
        <v>256</v>
      </c>
      <c r="D58" t="s">
        <v>289</v>
      </c>
    </row>
    <row r="59" spans="1:4" x14ac:dyDescent="0.35">
      <c r="A59" s="2">
        <v>45905</v>
      </c>
      <c r="B59" s="4">
        <v>-27.07</v>
      </c>
      <c r="C59" t="s">
        <v>212</v>
      </c>
      <c r="D59" t="s">
        <v>211</v>
      </c>
    </row>
    <row r="60" spans="1:4" x14ac:dyDescent="0.35">
      <c r="A60" s="2">
        <v>45875</v>
      </c>
      <c r="B60" s="4">
        <v>-16.149999999999999</v>
      </c>
      <c r="C60" t="s">
        <v>212</v>
      </c>
      <c r="D60" t="s">
        <v>211</v>
      </c>
    </row>
    <row r="61" spans="1:4" x14ac:dyDescent="0.35">
      <c r="A61" s="2">
        <v>45869</v>
      </c>
      <c r="B61" s="4">
        <v>-39.68</v>
      </c>
      <c r="C61" t="s">
        <v>209</v>
      </c>
      <c r="D61" t="s">
        <v>315</v>
      </c>
    </row>
    <row r="62" spans="1:4" x14ac:dyDescent="0.35">
      <c r="A62" s="2">
        <v>45869</v>
      </c>
      <c r="B62" s="4">
        <v>-733.42</v>
      </c>
      <c r="C62" t="s">
        <v>209</v>
      </c>
      <c r="D62" t="s">
        <v>314</v>
      </c>
    </row>
    <row r="63" spans="1:4" x14ac:dyDescent="0.35">
      <c r="A63" s="2">
        <v>45848</v>
      </c>
      <c r="B63" s="4">
        <v>-78</v>
      </c>
      <c r="C63" t="s">
        <v>209</v>
      </c>
      <c r="D63" t="s">
        <v>313</v>
      </c>
    </row>
    <row r="64" spans="1:4" x14ac:dyDescent="0.35">
      <c r="A64" s="2">
        <v>45848</v>
      </c>
      <c r="B64" s="4">
        <v>-210</v>
      </c>
      <c r="C64" t="s">
        <v>209</v>
      </c>
      <c r="D64" t="s">
        <v>312</v>
      </c>
    </row>
    <row r="65" spans="1:4" x14ac:dyDescent="0.35">
      <c r="A65" s="2">
        <v>45848</v>
      </c>
      <c r="B65" s="4">
        <v>-139</v>
      </c>
      <c r="C65" t="s">
        <v>209</v>
      </c>
      <c r="D65" t="s">
        <v>311</v>
      </c>
    </row>
    <row r="66" spans="1:4" x14ac:dyDescent="0.35">
      <c r="A66" s="2">
        <v>45848</v>
      </c>
      <c r="B66" s="4">
        <v>-1000</v>
      </c>
      <c r="C66" t="s">
        <v>209</v>
      </c>
      <c r="D66" t="s">
        <v>310</v>
      </c>
    </row>
    <row r="67" spans="1:4" x14ac:dyDescent="0.35">
      <c r="A67" s="2">
        <v>45848</v>
      </c>
      <c r="B67" s="4">
        <v>-200</v>
      </c>
      <c r="C67" t="s">
        <v>209</v>
      </c>
      <c r="D67" t="s">
        <v>309</v>
      </c>
    </row>
    <row r="68" spans="1:4" x14ac:dyDescent="0.35">
      <c r="A68" s="2">
        <v>45848</v>
      </c>
      <c r="B68" s="4">
        <v>-14.59</v>
      </c>
      <c r="C68" t="s">
        <v>209</v>
      </c>
      <c r="D68" t="s">
        <v>308</v>
      </c>
    </row>
    <row r="69" spans="1:4" x14ac:dyDescent="0.35">
      <c r="A69" s="2">
        <v>45848</v>
      </c>
      <c r="B69" s="4">
        <v>-157</v>
      </c>
      <c r="C69" t="s">
        <v>209</v>
      </c>
      <c r="D69" t="s">
        <v>307</v>
      </c>
    </row>
    <row r="70" spans="1:4" x14ac:dyDescent="0.35">
      <c r="A70" s="2">
        <v>45848</v>
      </c>
      <c r="B70" s="4">
        <v>-39.68</v>
      </c>
      <c r="C70" t="s">
        <v>209</v>
      </c>
      <c r="D70" t="s">
        <v>306</v>
      </c>
    </row>
    <row r="71" spans="1:4" x14ac:dyDescent="0.35">
      <c r="A71" s="2">
        <v>45848</v>
      </c>
      <c r="B71" s="4">
        <v>-733.42</v>
      </c>
      <c r="C71" t="s">
        <v>209</v>
      </c>
      <c r="D71" t="s">
        <v>305</v>
      </c>
    </row>
    <row r="72" spans="1:4" x14ac:dyDescent="0.35">
      <c r="A72" s="2">
        <v>45848</v>
      </c>
      <c r="B72" s="4">
        <v>-500</v>
      </c>
      <c r="C72" t="s">
        <v>207</v>
      </c>
      <c r="D72" t="s">
        <v>304</v>
      </c>
    </row>
    <row r="73" spans="1:4" x14ac:dyDescent="0.35">
      <c r="A73" s="2">
        <v>45848</v>
      </c>
      <c r="B73" s="4">
        <v>-2750</v>
      </c>
      <c r="C73" t="s">
        <v>207</v>
      </c>
      <c r="D73" t="s">
        <v>303</v>
      </c>
    </row>
    <row r="74" spans="1:4" x14ac:dyDescent="0.35">
      <c r="A74" s="2">
        <v>45845</v>
      </c>
      <c r="B74" s="4">
        <v>-16.149999999999999</v>
      </c>
      <c r="C74" t="s">
        <v>212</v>
      </c>
      <c r="D74" t="s">
        <v>211</v>
      </c>
    </row>
    <row r="75" spans="1:4" x14ac:dyDescent="0.35">
      <c r="A75" s="2">
        <v>45838</v>
      </c>
      <c r="B75" s="4">
        <v>-654.95000000000005</v>
      </c>
      <c r="C75" t="s">
        <v>212</v>
      </c>
      <c r="D75" t="s">
        <v>214</v>
      </c>
    </row>
    <row r="76" spans="1:4" x14ac:dyDescent="0.35">
      <c r="A76" s="2">
        <v>45826</v>
      </c>
      <c r="B76" s="4">
        <v>-772.83</v>
      </c>
      <c r="C76" t="s">
        <v>209</v>
      </c>
      <c r="D76" t="s">
        <v>302</v>
      </c>
    </row>
    <row r="77" spans="1:4" x14ac:dyDescent="0.35">
      <c r="A77" s="2">
        <v>45818</v>
      </c>
      <c r="B77" s="4">
        <v>730.27</v>
      </c>
      <c r="C77" t="s">
        <v>256</v>
      </c>
      <c r="D77" t="s">
        <v>301</v>
      </c>
    </row>
    <row r="78" spans="1:4" x14ac:dyDescent="0.35">
      <c r="A78" s="2">
        <v>45817</v>
      </c>
      <c r="B78" s="4">
        <v>-129.6</v>
      </c>
      <c r="C78" t="s">
        <v>209</v>
      </c>
      <c r="D78" t="s">
        <v>300</v>
      </c>
    </row>
    <row r="79" spans="1:4" x14ac:dyDescent="0.35">
      <c r="A79" s="2">
        <v>45817</v>
      </c>
      <c r="B79" s="4">
        <v>-39.68</v>
      </c>
      <c r="C79" t="s">
        <v>209</v>
      </c>
      <c r="D79" t="s">
        <v>299</v>
      </c>
    </row>
    <row r="80" spans="1:4" x14ac:dyDescent="0.35">
      <c r="A80" s="2">
        <v>45817</v>
      </c>
      <c r="B80" s="4">
        <v>-733.42</v>
      </c>
      <c r="C80" t="s">
        <v>209</v>
      </c>
      <c r="D80" t="s">
        <v>298</v>
      </c>
    </row>
    <row r="81" spans="1:4" x14ac:dyDescent="0.35">
      <c r="A81" s="2">
        <v>45813</v>
      </c>
      <c r="B81" s="4">
        <v>-16.149999999999999</v>
      </c>
      <c r="C81" t="s">
        <v>212</v>
      </c>
      <c r="D81" t="s">
        <v>211</v>
      </c>
    </row>
    <row r="82" spans="1:4" x14ac:dyDescent="0.35">
      <c r="A82" s="2">
        <v>45792</v>
      </c>
      <c r="B82" s="4">
        <v>-175</v>
      </c>
      <c r="C82" t="s">
        <v>209</v>
      </c>
      <c r="D82" t="s">
        <v>297</v>
      </c>
    </row>
    <row r="83" spans="1:4" x14ac:dyDescent="0.35">
      <c r="A83" s="2">
        <v>45792</v>
      </c>
      <c r="B83" s="4">
        <v>-250</v>
      </c>
      <c r="C83" t="s">
        <v>209</v>
      </c>
      <c r="D83" t="s">
        <v>296</v>
      </c>
    </row>
    <row r="84" spans="1:4" x14ac:dyDescent="0.35">
      <c r="A84" s="2">
        <v>45792</v>
      </c>
      <c r="B84" s="4">
        <v>-936</v>
      </c>
      <c r="C84" t="s">
        <v>209</v>
      </c>
      <c r="D84" t="s">
        <v>295</v>
      </c>
    </row>
    <row r="85" spans="1:4" x14ac:dyDescent="0.35">
      <c r="A85" s="2">
        <v>45792</v>
      </c>
      <c r="B85" s="4">
        <v>-156</v>
      </c>
      <c r="C85" t="s">
        <v>209</v>
      </c>
      <c r="D85" t="s">
        <v>294</v>
      </c>
    </row>
    <row r="86" spans="1:4" x14ac:dyDescent="0.35">
      <c r="A86" s="2">
        <v>45792</v>
      </c>
      <c r="B86" s="4">
        <v>-314.25</v>
      </c>
      <c r="C86" t="s">
        <v>209</v>
      </c>
      <c r="D86" t="s">
        <v>293</v>
      </c>
    </row>
    <row r="87" spans="1:4" x14ac:dyDescent="0.35">
      <c r="A87" s="2">
        <v>45792</v>
      </c>
      <c r="B87" s="4">
        <v>-175.5</v>
      </c>
      <c r="C87" t="s">
        <v>209</v>
      </c>
      <c r="D87" t="s">
        <v>292</v>
      </c>
    </row>
    <row r="88" spans="1:4" x14ac:dyDescent="0.35">
      <c r="A88" s="2">
        <v>45792</v>
      </c>
      <c r="B88" s="4">
        <v>-39.68</v>
      </c>
      <c r="C88" t="s">
        <v>209</v>
      </c>
      <c r="D88" t="s">
        <v>291</v>
      </c>
    </row>
    <row r="89" spans="1:4" x14ac:dyDescent="0.35">
      <c r="A89" s="2">
        <v>45792</v>
      </c>
      <c r="B89" s="4">
        <v>-733.42</v>
      </c>
      <c r="C89" t="s">
        <v>209</v>
      </c>
      <c r="D89" t="s">
        <v>290</v>
      </c>
    </row>
    <row r="90" spans="1:4" x14ac:dyDescent="0.35">
      <c r="A90" s="2">
        <v>45786</v>
      </c>
      <c r="B90" s="4">
        <v>-1414.93</v>
      </c>
      <c r="C90" t="s">
        <v>212</v>
      </c>
      <c r="D90" t="s">
        <v>214</v>
      </c>
    </row>
    <row r="91" spans="1:4" x14ac:dyDescent="0.35">
      <c r="A91" s="2">
        <v>45784</v>
      </c>
      <c r="B91" s="4">
        <v>-16.149999999999999</v>
      </c>
      <c r="C91" t="s">
        <v>212</v>
      </c>
      <c r="D91" t="s">
        <v>211</v>
      </c>
    </row>
    <row r="92" spans="1:4" x14ac:dyDescent="0.35">
      <c r="A92" s="2">
        <v>45762</v>
      </c>
      <c r="B92" s="4">
        <v>17100</v>
      </c>
      <c r="C92" t="s">
        <v>256</v>
      </c>
      <c r="D92" t="s">
        <v>289</v>
      </c>
    </row>
    <row r="93" spans="1:4" x14ac:dyDescent="0.35">
      <c r="A93" s="2">
        <v>45754</v>
      </c>
      <c r="B93" s="4">
        <v>-16.149999999999999</v>
      </c>
      <c r="C93" t="s">
        <v>212</v>
      </c>
      <c r="D93" t="s">
        <v>211</v>
      </c>
    </row>
    <row r="94" spans="1:4" x14ac:dyDescent="0.35">
      <c r="B94" s="62">
        <f>SUM(B2:B93)</f>
        <v>-13216.949999999999</v>
      </c>
    </row>
    <row r="95" spans="1:4" x14ac:dyDescent="0.35">
      <c r="B95" s="4">
        <f>B2</f>
        <v>-827.63</v>
      </c>
      <c r="C95" t="s">
        <v>336</v>
      </c>
    </row>
    <row r="96" spans="1:4" x14ac:dyDescent="0.35">
      <c r="B96" s="53">
        <f>B94-B95</f>
        <v>-12389.32</v>
      </c>
      <c r="C96" t="s">
        <v>329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827F5-50AD-4564-9E92-A9CE3B636E3B}">
  <sheetPr>
    <tabColor rgb="FFFFFF00"/>
  </sheetPr>
  <dimension ref="A1:J38"/>
  <sheetViews>
    <sheetView workbookViewId="0">
      <selection activeCell="D9" sqref="D9"/>
    </sheetView>
  </sheetViews>
  <sheetFormatPr defaultRowHeight="14.5" x14ac:dyDescent="0.35"/>
  <cols>
    <col min="1" max="1" width="19.1796875" customWidth="1"/>
    <col min="2" max="2" width="9.1796875" style="4" bestFit="1" customWidth="1"/>
    <col min="3" max="3" width="12.7265625" bestFit="1" customWidth="1"/>
    <col min="4" max="4" width="40" bestFit="1" customWidth="1"/>
    <col min="5" max="5" width="14.26953125" style="107" customWidth="1"/>
    <col min="6" max="6" width="17.26953125" style="51" customWidth="1"/>
    <col min="7" max="8" width="13.7265625" style="51" customWidth="1"/>
    <col min="9" max="9" width="21.81640625" bestFit="1" customWidth="1"/>
  </cols>
  <sheetData>
    <row r="1" spans="1:10" x14ac:dyDescent="0.35">
      <c r="A1" t="s">
        <v>3</v>
      </c>
      <c r="B1" s="4" t="s">
        <v>342</v>
      </c>
      <c r="C1" t="s">
        <v>228</v>
      </c>
      <c r="D1" t="s">
        <v>227</v>
      </c>
      <c r="E1" s="107" t="s">
        <v>286</v>
      </c>
      <c r="F1" s="106" t="s">
        <v>7</v>
      </c>
      <c r="G1" s="106" t="s">
        <v>8</v>
      </c>
      <c r="H1" s="106" t="s">
        <v>9</v>
      </c>
    </row>
    <row r="2" spans="1:10" x14ac:dyDescent="0.35">
      <c r="A2" s="2">
        <v>45748</v>
      </c>
      <c r="B2" s="4">
        <v>-237.12</v>
      </c>
      <c r="C2" t="s">
        <v>212</v>
      </c>
      <c r="D2" t="s">
        <v>343</v>
      </c>
      <c r="F2" s="51">
        <v>197.6</v>
      </c>
      <c r="G2" s="51">
        <v>39.520000000000003</v>
      </c>
      <c r="H2" s="51">
        <f>F2+G2</f>
        <v>237.12</v>
      </c>
      <c r="I2" t="s">
        <v>358</v>
      </c>
    </row>
    <row r="3" spans="1:10" x14ac:dyDescent="0.35">
      <c r="A3" s="2">
        <v>45792</v>
      </c>
      <c r="B3" s="4">
        <v>-914</v>
      </c>
      <c r="C3" t="s">
        <v>209</v>
      </c>
      <c r="D3" t="s">
        <v>344</v>
      </c>
      <c r="F3" s="51">
        <v>914</v>
      </c>
      <c r="G3" s="51">
        <v>0</v>
      </c>
      <c r="H3" s="51">
        <f t="shared" ref="H3:H15" si="0">F3+G3</f>
        <v>914</v>
      </c>
      <c r="I3" t="s">
        <v>355</v>
      </c>
    </row>
    <row r="4" spans="1:10" x14ac:dyDescent="0.35">
      <c r="A4" s="2">
        <v>45817</v>
      </c>
      <c r="B4" s="4">
        <v>-612</v>
      </c>
      <c r="C4" t="s">
        <v>209</v>
      </c>
      <c r="D4" t="s">
        <v>345</v>
      </c>
      <c r="F4" s="51">
        <v>510</v>
      </c>
      <c r="G4" s="51">
        <v>102</v>
      </c>
      <c r="H4" s="51">
        <f t="shared" si="0"/>
        <v>612</v>
      </c>
      <c r="I4" t="s">
        <v>355</v>
      </c>
    </row>
    <row r="5" spans="1:10" x14ac:dyDescent="0.35">
      <c r="A5" s="2">
        <v>45848</v>
      </c>
      <c r="B5" s="4">
        <v>-1098</v>
      </c>
      <c r="C5" t="s">
        <v>209</v>
      </c>
      <c r="D5" t="s">
        <v>346</v>
      </c>
      <c r="F5" s="51">
        <v>1098</v>
      </c>
      <c r="G5" s="51">
        <v>0</v>
      </c>
      <c r="H5" s="51">
        <f t="shared" si="0"/>
        <v>1098</v>
      </c>
      <c r="I5" t="s">
        <v>355</v>
      </c>
    </row>
    <row r="6" spans="1:10" x14ac:dyDescent="0.35">
      <c r="A6" s="2">
        <v>45848</v>
      </c>
      <c r="B6" s="59">
        <v>500</v>
      </c>
      <c r="C6" t="s">
        <v>207</v>
      </c>
      <c r="D6" t="s">
        <v>347</v>
      </c>
      <c r="E6" s="107">
        <v>500</v>
      </c>
      <c r="H6" s="51">
        <f t="shared" si="0"/>
        <v>0</v>
      </c>
      <c r="I6" t="s">
        <v>354</v>
      </c>
    </row>
    <row r="7" spans="1:10" x14ac:dyDescent="0.35">
      <c r="A7" s="2">
        <v>45848</v>
      </c>
      <c r="B7" s="59">
        <v>2750</v>
      </c>
      <c r="C7" t="s">
        <v>207</v>
      </c>
      <c r="D7" t="s">
        <v>348</v>
      </c>
      <c r="E7" s="107">
        <v>2750</v>
      </c>
      <c r="H7" s="51">
        <f t="shared" si="0"/>
        <v>0</v>
      </c>
      <c r="I7" t="s">
        <v>354</v>
      </c>
    </row>
    <row r="8" spans="1:10" x14ac:dyDescent="0.35">
      <c r="A8" s="2">
        <v>45915</v>
      </c>
      <c r="B8" s="4">
        <v>-610</v>
      </c>
      <c r="C8" t="s">
        <v>209</v>
      </c>
      <c r="D8" t="s">
        <v>349</v>
      </c>
      <c r="F8" s="51">
        <v>610</v>
      </c>
      <c r="G8" s="51">
        <v>0</v>
      </c>
      <c r="H8" s="51">
        <f t="shared" si="0"/>
        <v>610</v>
      </c>
      <c r="I8" t="s">
        <v>355</v>
      </c>
    </row>
    <row r="9" spans="1:10" x14ac:dyDescent="0.35">
      <c r="A9" s="2">
        <v>45932</v>
      </c>
      <c r="B9" s="4">
        <v>-1471.2</v>
      </c>
      <c r="C9" t="s">
        <v>209</v>
      </c>
      <c r="D9" s="102" t="s">
        <v>350</v>
      </c>
      <c r="F9" s="51">
        <v>1471.2</v>
      </c>
      <c r="G9" s="51">
        <v>0</v>
      </c>
      <c r="H9" s="51">
        <f t="shared" si="0"/>
        <v>1471.2</v>
      </c>
      <c r="I9" t="s">
        <v>355</v>
      </c>
      <c r="J9" s="104" t="s">
        <v>369</v>
      </c>
    </row>
    <row r="10" spans="1:10" x14ac:dyDescent="0.35">
      <c r="A10" s="2">
        <v>45978</v>
      </c>
      <c r="B10" s="4">
        <v>-787</v>
      </c>
      <c r="C10" t="s">
        <v>209</v>
      </c>
      <c r="D10" t="s">
        <v>351</v>
      </c>
      <c r="F10" s="51">
        <v>787</v>
      </c>
      <c r="G10" s="51">
        <v>0</v>
      </c>
      <c r="H10" s="51">
        <f t="shared" si="0"/>
        <v>787</v>
      </c>
      <c r="I10" t="s">
        <v>355</v>
      </c>
    </row>
    <row r="11" spans="1:10" x14ac:dyDescent="0.35">
      <c r="A11" s="2">
        <v>46048</v>
      </c>
      <c r="B11" s="4">
        <v>-140</v>
      </c>
      <c r="C11" t="s">
        <v>209</v>
      </c>
      <c r="D11" t="s">
        <v>352</v>
      </c>
      <c r="F11" s="51">
        <v>140</v>
      </c>
      <c r="G11" s="51">
        <v>0</v>
      </c>
      <c r="H11" s="51">
        <f t="shared" si="0"/>
        <v>140</v>
      </c>
      <c r="I11" t="s">
        <v>355</v>
      </c>
    </row>
    <row r="12" spans="1:10" ht="15" thickBot="1" x14ac:dyDescent="0.4">
      <c r="A12" s="2"/>
      <c r="H12" s="51">
        <f t="shared" si="0"/>
        <v>0</v>
      </c>
    </row>
    <row r="13" spans="1:10" ht="15" thickBot="1" x14ac:dyDescent="0.4">
      <c r="A13" s="2"/>
      <c r="E13" s="108">
        <f>SUM(E2:E12)</f>
        <v>3250</v>
      </c>
      <c r="F13" s="109">
        <f t="shared" ref="F13:H13" si="1">SUM(F2:F12)</f>
        <v>5727.8</v>
      </c>
      <c r="G13" s="109">
        <f t="shared" si="1"/>
        <v>141.52000000000001</v>
      </c>
      <c r="H13" s="109">
        <f t="shared" si="1"/>
        <v>5869.32</v>
      </c>
    </row>
    <row r="14" spans="1:10" x14ac:dyDescent="0.35">
      <c r="A14" s="2"/>
    </row>
    <row r="15" spans="1:10" s="128" customFormat="1" x14ac:dyDescent="0.35">
      <c r="A15" s="126">
        <v>46113</v>
      </c>
      <c r="B15" s="127">
        <v>-247.1</v>
      </c>
      <c r="C15" s="128" t="s">
        <v>212</v>
      </c>
      <c r="D15" s="128" t="s">
        <v>343</v>
      </c>
      <c r="E15" s="129"/>
      <c r="F15" s="127"/>
      <c r="G15" s="127"/>
      <c r="H15" s="127">
        <f t="shared" si="0"/>
        <v>0</v>
      </c>
      <c r="I15" s="128" t="s">
        <v>353</v>
      </c>
    </row>
    <row r="16" spans="1:10" ht="16" x14ac:dyDescent="0.5">
      <c r="E16" s="115" t="s">
        <v>374</v>
      </c>
      <c r="F16" s="122"/>
    </row>
    <row r="18" spans="1:8" ht="16" x14ac:dyDescent="0.5">
      <c r="A18" s="8" t="s">
        <v>372</v>
      </c>
      <c r="B18" s="100" t="s">
        <v>356</v>
      </c>
      <c r="C18" s="101" t="s">
        <v>357</v>
      </c>
      <c r="E18" s="117" t="s">
        <v>375</v>
      </c>
      <c r="F18" s="118"/>
      <c r="G18" s="120">
        <v>9942</v>
      </c>
    </row>
    <row r="19" spans="1:8" x14ac:dyDescent="0.35">
      <c r="B19" s="112">
        <f>SUM(B7+B6)</f>
        <v>3250</v>
      </c>
      <c r="C19" s="113">
        <f>B2+B3+B4+B5+B8+B9+B10+B11</f>
        <v>-5869.32</v>
      </c>
    </row>
    <row r="20" spans="1:8" x14ac:dyDescent="0.35">
      <c r="A20" t="s">
        <v>370</v>
      </c>
      <c r="C20" s="5">
        <f>F3+F5+F8+F9+F10+F11+F4</f>
        <v>5530.2</v>
      </c>
      <c r="E20" s="117" t="s">
        <v>377</v>
      </c>
      <c r="F20" s="118"/>
      <c r="G20" s="118"/>
    </row>
    <row r="21" spans="1:8" x14ac:dyDescent="0.35">
      <c r="A21" t="s">
        <v>97</v>
      </c>
      <c r="C21" s="5">
        <f>F2</f>
        <v>197.6</v>
      </c>
      <c r="E21" s="117" t="s">
        <v>337</v>
      </c>
      <c r="F21" s="118"/>
      <c r="G21" s="118"/>
    </row>
    <row r="22" spans="1:8" x14ac:dyDescent="0.35">
      <c r="A22" t="s">
        <v>8</v>
      </c>
      <c r="C22" s="5">
        <f>G2+G4</f>
        <v>141.52000000000001</v>
      </c>
    </row>
    <row r="23" spans="1:8" ht="15" thickBot="1" x14ac:dyDescent="0.4">
      <c r="A23" t="s">
        <v>286</v>
      </c>
      <c r="B23" s="59">
        <f>E6+E7</f>
        <v>3250</v>
      </c>
      <c r="E23" s="114" t="s">
        <v>376</v>
      </c>
      <c r="F23" s="119"/>
      <c r="G23" s="86">
        <v>9954.68</v>
      </c>
    </row>
    <row r="24" spans="1:8" ht="15" thickBot="1" x14ac:dyDescent="0.4">
      <c r="B24" s="111">
        <f>SUM(B20:B23)</f>
        <v>3250</v>
      </c>
      <c r="C24" s="110">
        <f>SUM(C20:C23)</f>
        <v>5869.3200000000006</v>
      </c>
      <c r="F24" s="107"/>
    </row>
    <row r="25" spans="1:8" x14ac:dyDescent="0.35">
      <c r="A25" t="s">
        <v>371</v>
      </c>
      <c r="B25" s="4">
        <f>B24-B19</f>
        <v>0</v>
      </c>
      <c r="C25" s="4" cm="1">
        <f t="array" ref="C25">C24+_xlfn.ANCHORARRAY(C19)</f>
        <v>0</v>
      </c>
      <c r="E25" s="107" t="s">
        <v>371</v>
      </c>
      <c r="G25" s="51">
        <f>G23-G18</f>
        <v>12.680000000000291</v>
      </c>
      <c r="H25" s="51" t="s">
        <v>378</v>
      </c>
    </row>
    <row r="27" spans="1:8" x14ac:dyDescent="0.35">
      <c r="E27" s="117" t="s">
        <v>379</v>
      </c>
      <c r="F27" s="118"/>
      <c r="G27" s="118">
        <f>E13</f>
        <v>3250</v>
      </c>
    </row>
    <row r="28" spans="1:8" x14ac:dyDescent="0.35">
      <c r="E28" s="117"/>
      <c r="F28" s="118"/>
      <c r="G28" s="118"/>
    </row>
    <row r="29" spans="1:8" x14ac:dyDescent="0.35">
      <c r="E29" s="117" t="s">
        <v>380</v>
      </c>
      <c r="F29" s="118"/>
      <c r="G29" s="118">
        <f>-H13</f>
        <v>-5869.32</v>
      </c>
    </row>
    <row r="30" spans="1:8" x14ac:dyDescent="0.35">
      <c r="E30" s="117"/>
      <c r="F30" s="118"/>
      <c r="G30" s="118"/>
    </row>
    <row r="31" spans="1:8" x14ac:dyDescent="0.35">
      <c r="E31" s="117" t="s">
        <v>381</v>
      </c>
      <c r="F31" s="118"/>
      <c r="G31" s="120">
        <f>G23+G27+G29</f>
        <v>7335.3600000000006</v>
      </c>
    </row>
    <row r="32" spans="1:8" x14ac:dyDescent="0.35">
      <c r="E32" s="117"/>
      <c r="F32" s="118"/>
      <c r="G32" s="118"/>
    </row>
    <row r="33" spans="5:7" x14ac:dyDescent="0.35">
      <c r="E33" s="114" t="s">
        <v>383</v>
      </c>
      <c r="F33" s="119"/>
      <c r="G33" s="86">
        <v>7335.36</v>
      </c>
    </row>
    <row r="35" spans="5:7" x14ac:dyDescent="0.35">
      <c r="E35" s="107" t="s">
        <v>371</v>
      </c>
      <c r="G35" s="121">
        <f>G31-G33</f>
        <v>0</v>
      </c>
    </row>
    <row r="37" spans="5:7" x14ac:dyDescent="0.35">
      <c r="E37" s="123" t="s">
        <v>377</v>
      </c>
      <c r="F37" s="124"/>
      <c r="G37" s="124"/>
    </row>
    <row r="38" spans="5:7" x14ac:dyDescent="0.35">
      <c r="E38" s="123" t="s">
        <v>382</v>
      </c>
      <c r="F38" s="124"/>
      <c r="G38" s="124">
        <v>-247.1</v>
      </c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Pivots</vt:lpstr>
      <vt:lpstr>Labels</vt:lpstr>
      <vt:lpstr>Precept - forecast</vt:lpstr>
      <vt:lpstr>Precept - budget YTD</vt:lpstr>
      <vt:lpstr>Cashbook</vt:lpstr>
      <vt:lpstr>Bank Recs MPC</vt:lpstr>
      <vt:lpstr>MPC Bank Transactions all</vt:lpstr>
      <vt:lpstr>Rec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Oldham</dc:creator>
  <cp:lastModifiedBy>Rebecca Denby</cp:lastModifiedBy>
  <cp:lastPrinted>2026-04-06T09:33:19Z</cp:lastPrinted>
  <dcterms:created xsi:type="dcterms:W3CDTF">2026-01-15T11:13:33Z</dcterms:created>
  <dcterms:modified xsi:type="dcterms:W3CDTF">2026-04-22T12:59:26Z</dcterms:modified>
</cp:coreProperties>
</file>